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6" activeTab="9"/>
  </bookViews>
  <sheets>
    <sheet name="РЖ любители 55 кг." sheetId="1" r:id="rId1"/>
    <sheet name="РЖ Проф 55 кг." sheetId="2" r:id="rId2"/>
    <sheet name="Пауэрспорт Любители" sheetId="3" r:id="rId3"/>
    <sheet name="Бицепс Любители" sheetId="4" r:id="rId4"/>
    <sheet name="Жим стоя Любители" sheetId="5" r:id="rId5"/>
    <sheet name="Проф. народный жим 1 вес" sheetId="6" r:id="rId6"/>
    <sheet name="Двоеборье люб" sheetId="7" r:id="rId7"/>
    <sheet name="Люб. тяга б.э." sheetId="8" r:id="rId8"/>
    <sheet name="Люб. жим 1 петельная" sheetId="9" r:id="rId9"/>
    <sheet name="ПРО жим б.э." sheetId="10" r:id="rId10"/>
    <sheet name="Люб. жим б.э." sheetId="11" r:id="rId11"/>
    <sheet name="ПРО жим 1.слой" sheetId="12" r:id="rId12"/>
    <sheet name="Люб. ПЛ. 1.петельная софт" sheetId="13" r:id="rId13"/>
    <sheet name="ПРО ПЛ. 1.слой" sheetId="14" r:id="rId14"/>
  </sheets>
  <definedNames/>
  <calcPr fullCalcOnLoad="1" refMode="R1C1"/>
</workbook>
</file>

<file path=xl/sharedStrings.xml><?xml version="1.0" encoding="utf-8"?>
<sst xmlns="http://schemas.openxmlformats.org/spreadsheetml/2006/main" count="1243" uniqueCount="423">
  <si>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</si>
  <si>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</si>
  <si>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</si>
  <si>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</si>
  <si>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</si>
  <si>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</si>
  <si>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</si>
  <si>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</si>
  <si>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</si>
  <si>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Европы
ПРО пауэрлифтинг в однослойной экипировке
Балахна/Нижегородская область 20 - 21 декабря 2019 г.</t>
  </si>
  <si>
    <t>Shv/Mel</t>
  </si>
  <si>
    <t>Приседание</t>
  </si>
  <si>
    <t>Жим лёжа</t>
  </si>
  <si>
    <t>Становая тяга</t>
  </si>
  <si>
    <t>ВЕСОВАЯ КАТЕГОРИЯ   52</t>
  </si>
  <si>
    <t>Ахметова Сабина</t>
  </si>
  <si>
    <t>1. Ахметова Сабина</t>
  </si>
  <si>
    <t>Открытая (22.04.1994)/25</t>
  </si>
  <si>
    <t>51,95</t>
  </si>
  <si>
    <t xml:space="preserve">Палей Реформа </t>
  </si>
  <si>
    <t xml:space="preserve">Нурлат/Татарстан </t>
  </si>
  <si>
    <t>190,0</t>
  </si>
  <si>
    <t>200,5</t>
  </si>
  <si>
    <t>95,0</t>
  </si>
  <si>
    <t>100,0</t>
  </si>
  <si>
    <t>165,0</t>
  </si>
  <si>
    <t>182,0</t>
  </si>
  <si>
    <t xml:space="preserve">Балашов Владимир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</si>
  <si>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</si>
  <si>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</si>
  <si>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</si>
  <si>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</si>
  <si>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</si>
  <si>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</si>
  <si>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</si>
  <si>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</si>
  <si>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</si>
  <si>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</si>
  <si>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</si>
  <si>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</si>
  <si>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52</t>
  </si>
  <si>
    <t>460,5</t>
  </si>
  <si>
    <t>446,7310</t>
  </si>
  <si>
    <t>Кубок Европы
Любители пауэрлифтинг в однопетельной софт экипировке
Балахна/Нижегородская область 20 - 21 декабря 2019 г.</t>
  </si>
  <si>
    <t>ВЕСОВАЯ КАТЕГОРИЯ   82.5</t>
  </si>
  <si>
    <t>Голявин Илья</t>
  </si>
  <si>
    <t>1. Голявин Илья</t>
  </si>
  <si>
    <t>Открытая (14.08.1993)/26</t>
  </si>
  <si>
    <t>81,90</t>
  </si>
  <si>
    <t xml:space="preserve">Балахна </t>
  </si>
  <si>
    <t xml:space="preserve">Балахна/Нижегородская область </t>
  </si>
  <si>
    <t>215,0</t>
  </si>
  <si>
    <t>220,0</t>
  </si>
  <si>
    <t>230,0</t>
  </si>
  <si>
    <t>110,0</t>
  </si>
  <si>
    <t>120,0</t>
  </si>
  <si>
    <t>125,0</t>
  </si>
  <si>
    <t>200,0</t>
  </si>
  <si>
    <t>207,5</t>
  </si>
  <si>
    <t xml:space="preserve"> </t>
  </si>
  <si>
    <t>ВЕСОВАЯ КАТЕГОРИЯ   100</t>
  </si>
  <si>
    <t>Романов Валерий</t>
  </si>
  <si>
    <t>1. Романов Валерий</t>
  </si>
  <si>
    <t>Мастера 55 - 59 (15.02.1960)/59</t>
  </si>
  <si>
    <t>97,30</t>
  </si>
  <si>
    <t xml:space="preserve">лично </t>
  </si>
  <si>
    <t xml:space="preserve">Дзержинск/Нижегородская область </t>
  </si>
  <si>
    <t>150,0</t>
  </si>
  <si>
    <t>155,0</t>
  </si>
  <si>
    <t>145,0</t>
  </si>
  <si>
    <t>ВЕСОВАЯ КАТЕГОРИЯ   110</t>
  </si>
  <si>
    <t>Стукалин Савелий</t>
  </si>
  <si>
    <t>1. Стукалин Савелий</t>
  </si>
  <si>
    <t>Юноши 18 - 19 (17.03.2000)/19</t>
  </si>
  <si>
    <t>105,30</t>
  </si>
  <si>
    <t>157,5</t>
  </si>
  <si>
    <t>210,0</t>
  </si>
  <si>
    <t xml:space="preserve">Мужчины </t>
  </si>
  <si>
    <t xml:space="preserve">Юноши </t>
  </si>
  <si>
    <t xml:space="preserve">Юноши 18 - 19 </t>
  </si>
  <si>
    <t>110</t>
  </si>
  <si>
    <t>597,5</t>
  </si>
  <si>
    <t>337,5445</t>
  </si>
  <si>
    <t>82.5</t>
  </si>
  <si>
    <t>540,0</t>
  </si>
  <si>
    <t>336,0960</t>
  </si>
  <si>
    <t xml:space="preserve">Мастера </t>
  </si>
  <si>
    <t xml:space="preserve">Мастера 55 - 59 </t>
  </si>
  <si>
    <t>100</t>
  </si>
  <si>
    <t>415,0</t>
  </si>
  <si>
    <t>370,1758</t>
  </si>
  <si>
    <t>Кубок Европы
ПРО жим лежа в однослойной экипировке
Балахна/Нижегородская область 20 - 21 декабря 2019 г.</t>
  </si>
  <si>
    <t>Курочкин Алексей</t>
  </si>
  <si>
    <t>1. Курочкин Алексей</t>
  </si>
  <si>
    <t>Мастера 45 - 49 (18.03.1973)/46</t>
  </si>
  <si>
    <t>98,80</t>
  </si>
  <si>
    <t>222,5</t>
  </si>
  <si>
    <t>232,5</t>
  </si>
  <si>
    <t xml:space="preserve">Мастера 45 - 49 </t>
  </si>
  <si>
    <t>138,4382</t>
  </si>
  <si>
    <t>Результат</t>
  </si>
  <si>
    <t>Кубок Европы
Любители жим лежа без экипировки
Балахна/Нижегородская область 20 - 21 декабря 2019 г.</t>
  </si>
  <si>
    <t>ВЕСОВАЯ КАТЕГОРИЯ   90+</t>
  </si>
  <si>
    <t>-. Иванова Мария</t>
  </si>
  <si>
    <t>Открытая (19.10.1991)/28</t>
  </si>
  <si>
    <t>95,35</t>
  </si>
  <si>
    <t xml:space="preserve">Стальное Звено </t>
  </si>
  <si>
    <t xml:space="preserve">Москва </t>
  </si>
  <si>
    <t>45,0</t>
  </si>
  <si>
    <t>47,5</t>
  </si>
  <si>
    <t xml:space="preserve">Мажаев Сергей </t>
  </si>
  <si>
    <t>ВЕСОВАЯ КАТЕГОРИЯ   67.5</t>
  </si>
  <si>
    <t>Оболонский Иван</t>
  </si>
  <si>
    <t>1. Оболонский Иван</t>
  </si>
  <si>
    <t>Юноши 14-15 (14.06.2005)/14</t>
  </si>
  <si>
    <t>67,50</t>
  </si>
  <si>
    <t xml:space="preserve">Курочкин Алексей </t>
  </si>
  <si>
    <t>Мордовский Даниил</t>
  </si>
  <si>
    <t>1. Мордовский Даниил</t>
  </si>
  <si>
    <t>Юноши 16 - 17 (24.08.2002)/17</t>
  </si>
  <si>
    <t>66,60</t>
  </si>
  <si>
    <t>115,0</t>
  </si>
  <si>
    <t xml:space="preserve">Кузин Николай Иванович </t>
  </si>
  <si>
    <t>Демидов Андрей</t>
  </si>
  <si>
    <t>1. Демидов Андрей</t>
  </si>
  <si>
    <t>Юниоры 20 - 23 (21.12.1997)/22</t>
  </si>
  <si>
    <t>64,00</t>
  </si>
  <si>
    <t>127,5</t>
  </si>
  <si>
    <t>Жеков Руслан</t>
  </si>
  <si>
    <t>2. Жеков Руслан</t>
  </si>
  <si>
    <t>Юниоры 20 - 23 (30.12.1998)/20</t>
  </si>
  <si>
    <t>62,90</t>
  </si>
  <si>
    <t xml:space="preserve">Нижний Новгород/Нижегородская область </t>
  </si>
  <si>
    <t>ВЕСОВАЯ КАТЕГОРИЯ   75</t>
  </si>
  <si>
    <t>Мольков Глеб</t>
  </si>
  <si>
    <t>1. Мольков Глеб</t>
  </si>
  <si>
    <t>Открытая (14.05.1991)/28</t>
  </si>
  <si>
    <t>73,90</t>
  </si>
  <si>
    <t>130,0</t>
  </si>
  <si>
    <t>Починский Александр</t>
  </si>
  <si>
    <t>1. Починский Александр</t>
  </si>
  <si>
    <t>Мастера 45 - 49 (10.10.1970)/49</t>
  </si>
  <si>
    <t>71,70</t>
  </si>
  <si>
    <t>132,5</t>
  </si>
  <si>
    <t>Куликов Александр</t>
  </si>
  <si>
    <t>1. Куликов Александр</t>
  </si>
  <si>
    <t>Мастера 75 - 79 (13.09.1941)/78</t>
  </si>
  <si>
    <t>75,00</t>
  </si>
  <si>
    <t>122,5</t>
  </si>
  <si>
    <t>Харьков Владислав</t>
  </si>
  <si>
    <t>1. Харьков Владислав</t>
  </si>
  <si>
    <t>Открытая (15.03.1975)/44</t>
  </si>
  <si>
    <t>162,5</t>
  </si>
  <si>
    <t xml:space="preserve">Соколов Евгений </t>
  </si>
  <si>
    <t>Сергеичев Андрей</t>
  </si>
  <si>
    <t>2. Сергеичев Андрей</t>
  </si>
  <si>
    <t>Открытая (10.07.1989)/30</t>
  </si>
  <si>
    <t>78,60</t>
  </si>
  <si>
    <t>147,5</t>
  </si>
  <si>
    <t>152,5</t>
  </si>
  <si>
    <t>ВЕСОВАЯ КАТЕГОРИЯ   90</t>
  </si>
  <si>
    <t>Кривцов Сергей</t>
  </si>
  <si>
    <t>1. Кривцов Сергей</t>
  </si>
  <si>
    <t>Открытая (03.07.1983)/36</t>
  </si>
  <si>
    <t>89,30</t>
  </si>
  <si>
    <t>Удальцов Максим</t>
  </si>
  <si>
    <t>2. Удальцов Максим</t>
  </si>
  <si>
    <t>Открытая (12.11.1990)/29</t>
  </si>
  <si>
    <t>88,10</t>
  </si>
  <si>
    <t>135,0</t>
  </si>
  <si>
    <t>140,0</t>
  </si>
  <si>
    <t xml:space="preserve">Семагин Валерий Владимирович </t>
  </si>
  <si>
    <t>Ушаков Владимир</t>
  </si>
  <si>
    <t>1. Ушаков Владимир</t>
  </si>
  <si>
    <t>Мастера 45 - 49 (11.10.1973)/46</t>
  </si>
  <si>
    <t>88,55</t>
  </si>
  <si>
    <t>Цигура-Косенко Владимир</t>
  </si>
  <si>
    <t>1. Цигура-Косенко Владимир</t>
  </si>
  <si>
    <t>Мастера 45 - 49 (16.10.1972)/47</t>
  </si>
  <si>
    <t>98,75</t>
  </si>
  <si>
    <t>160,0</t>
  </si>
  <si>
    <t>Фоминых Алексей</t>
  </si>
  <si>
    <t>1. Фоминых Алексей</t>
  </si>
  <si>
    <t>Открытая (04.03.1989)/30</t>
  </si>
  <si>
    <t>107,50</t>
  </si>
  <si>
    <t xml:space="preserve">Киров/Кировская область </t>
  </si>
  <si>
    <t>167,5</t>
  </si>
  <si>
    <t>ВЕСОВАЯ КАТЕГОРИЯ   125</t>
  </si>
  <si>
    <t>Шпагин Максим</t>
  </si>
  <si>
    <t>1. Шпагин Максим</t>
  </si>
  <si>
    <t>Мастера 40 - 44 (04.01.1979)/40</t>
  </si>
  <si>
    <t>123,45</t>
  </si>
  <si>
    <t xml:space="preserve">Good Lift </t>
  </si>
  <si>
    <t>180,0</t>
  </si>
  <si>
    <t>195,0</t>
  </si>
  <si>
    <t xml:space="preserve">Юноши 16 - 17 </t>
  </si>
  <si>
    <t>67.5</t>
  </si>
  <si>
    <t>91,2497</t>
  </si>
  <si>
    <t xml:space="preserve">Юноши 14-15 </t>
  </si>
  <si>
    <t>84,8097</t>
  </si>
  <si>
    <t xml:space="preserve">Юниоры </t>
  </si>
  <si>
    <t xml:space="preserve">Юниоры 20 - 23 </t>
  </si>
  <si>
    <t>92,4150</t>
  </si>
  <si>
    <t>91,8343</t>
  </si>
  <si>
    <t>101,1400</t>
  </si>
  <si>
    <t>97,7830</t>
  </si>
  <si>
    <t>89,0670</t>
  </si>
  <si>
    <t>90</t>
  </si>
  <si>
    <t>88,2150</t>
  </si>
  <si>
    <t>75</t>
  </si>
  <si>
    <t>87,3990</t>
  </si>
  <si>
    <t>80,0550</t>
  </si>
  <si>
    <t xml:space="preserve">Мастера 75 - 79 </t>
  </si>
  <si>
    <t>169,8030</t>
  </si>
  <si>
    <t>104,4386</t>
  </si>
  <si>
    <t xml:space="preserve">Мастера 40 - 44 </t>
  </si>
  <si>
    <t>125</t>
  </si>
  <si>
    <t>99,3985</t>
  </si>
  <si>
    <t>97,3452</t>
  </si>
  <si>
    <t>80,5791</t>
  </si>
  <si>
    <t>Кубок Европы
ПРО жим лежа без экипировки
Балахна/Нижегородская область 20 - 21 декабря 2019 г.</t>
  </si>
  <si>
    <t>Можаев Сергей</t>
  </si>
  <si>
    <t>1. Можаев Сергей</t>
  </si>
  <si>
    <t>Открытая (16.04.1988)/31</t>
  </si>
  <si>
    <t>81,80</t>
  </si>
  <si>
    <t>142,5</t>
  </si>
  <si>
    <t>Байдуров Егор</t>
  </si>
  <si>
    <t>2. Байдуров Егор</t>
  </si>
  <si>
    <t>Открытая (13.01.1986)/33</t>
  </si>
  <si>
    <t>79,05</t>
  </si>
  <si>
    <t xml:space="preserve">Моисеев Александр </t>
  </si>
  <si>
    <t>Благообразов Иван</t>
  </si>
  <si>
    <t>1. Благообразов Иван</t>
  </si>
  <si>
    <t>Открытая (27.08.1984)/35</t>
  </si>
  <si>
    <t>97,80</t>
  </si>
  <si>
    <t>187,5</t>
  </si>
  <si>
    <t>Моисеев Александр</t>
  </si>
  <si>
    <t>1. Моисеев Александр</t>
  </si>
  <si>
    <t>Мастера 45 - 49 (11.11.1972)/47</t>
  </si>
  <si>
    <t>108,90</t>
  </si>
  <si>
    <t>104,9438</t>
  </si>
  <si>
    <t>98,1225</t>
  </si>
  <si>
    <t>92,5825</t>
  </si>
  <si>
    <t>111,5827</t>
  </si>
  <si>
    <t>Кубок Европы
Любители жим лежа в Софт экипировка однопетельная
Балахна/Нижегородская область 20 - 21 декабря 2019 г.</t>
  </si>
  <si>
    <t>Магмедян Сурик</t>
  </si>
  <si>
    <t>1. Магмедян Сурик</t>
  </si>
  <si>
    <t>Открытая (25.02.1991)/28</t>
  </si>
  <si>
    <t>74,40</t>
  </si>
  <si>
    <t>185,0</t>
  </si>
  <si>
    <t>110,3355</t>
  </si>
  <si>
    <t>Кубок Европы
Любители становая тяга без экипировки
Балахна/Нижегородская область 20 - 21 декабря 2019 г.</t>
  </si>
  <si>
    <t>ВЕСОВАЯ КАТЕГОРИЯ   56</t>
  </si>
  <si>
    <t>Соколов Дмитрий</t>
  </si>
  <si>
    <t>1. Соколов Дмитрий</t>
  </si>
  <si>
    <t>Юноши 16 - 17 (12.01.2002)/17</t>
  </si>
  <si>
    <t>55,90</t>
  </si>
  <si>
    <t>ВЕСОВАЯ КАТЕГОРИЯ   60</t>
  </si>
  <si>
    <t>Николаев Виктор</t>
  </si>
  <si>
    <t>1. Николаев Виктор</t>
  </si>
  <si>
    <t>Юноши 18 - 19 (20.04.2000)/19</t>
  </si>
  <si>
    <t>57,80</t>
  </si>
  <si>
    <t>Останин Максим</t>
  </si>
  <si>
    <t>1. Останин Максим</t>
  </si>
  <si>
    <t>Юниоры 20 - 23 (23.04.1999)/20</t>
  </si>
  <si>
    <t>81,60</t>
  </si>
  <si>
    <t>175,0</t>
  </si>
  <si>
    <t>Русаков Михаил</t>
  </si>
  <si>
    <t>1. Русаков Михаил</t>
  </si>
  <si>
    <t>Мастера 45 - 49 (02.03.1974)/45</t>
  </si>
  <si>
    <t>103,40</t>
  </si>
  <si>
    <t>56</t>
  </si>
  <si>
    <t>141,9930</t>
  </si>
  <si>
    <t>60</t>
  </si>
  <si>
    <t>136,2624</t>
  </si>
  <si>
    <t>106,0658</t>
  </si>
  <si>
    <t>263,3679</t>
  </si>
  <si>
    <t>114,5883</t>
  </si>
  <si>
    <t>Кубок Европы
Силовое двоеборье любители
Балахна/Нижегородская область 20 - 21 декабря 2019 г.</t>
  </si>
  <si>
    <t>Егорова Александра</t>
  </si>
  <si>
    <t>1. Егорова Александра</t>
  </si>
  <si>
    <t>Девушки 16 - 17 (24.03.2003)/16</t>
  </si>
  <si>
    <t>63,65</t>
  </si>
  <si>
    <t>50,0</t>
  </si>
  <si>
    <t>55,0</t>
  </si>
  <si>
    <t>60,0</t>
  </si>
  <si>
    <t>Шадрин Вячеслав</t>
  </si>
  <si>
    <t>1. Шадрин Вячеслав</t>
  </si>
  <si>
    <t>Мастера 50 - 54 (21.02.1968)/51</t>
  </si>
  <si>
    <t>102,25</t>
  </si>
  <si>
    <t xml:space="preserve">Девушки </t>
  </si>
  <si>
    <t>161,9968</t>
  </si>
  <si>
    <t xml:space="preserve">Мастера 50 - 54 </t>
  </si>
  <si>
    <t>375,0</t>
  </si>
  <si>
    <t>247,8735</t>
  </si>
  <si>
    <t>Вес</t>
  </si>
  <si>
    <t>Повторы</t>
  </si>
  <si>
    <t>Тоннаж</t>
  </si>
  <si>
    <t>Кубок Европы
Профессионалы народный жим (1 вес)
Балахна/Нижегородская область 20 - 21 декабря 2019 г.</t>
  </si>
  <si>
    <t>НАП Н.Ж.</t>
  </si>
  <si>
    <t>Народный жим</t>
  </si>
  <si>
    <t>Жулин Дмитрий</t>
  </si>
  <si>
    <t>1. Жулин Дмитрий</t>
  </si>
  <si>
    <t>Открытая (13.06.1985)/34</t>
  </si>
  <si>
    <t>79,00</t>
  </si>
  <si>
    <t xml:space="preserve">Богородск/Нижегородская область </t>
  </si>
  <si>
    <t>80,0</t>
  </si>
  <si>
    <t>30,0</t>
  </si>
  <si>
    <t>19,0</t>
  </si>
  <si>
    <t xml:space="preserve">НАП Н.Ж. </t>
  </si>
  <si>
    <t>2400,0</t>
  </si>
  <si>
    <t>1895,7600</t>
  </si>
  <si>
    <t>1520,0</t>
  </si>
  <si>
    <t>1199,8880</t>
  </si>
  <si>
    <t>Кубок Европы
Одиночный жим штанги стоя Любители
Балахна/Нижегородская область 20 - 21 декабря 2019 г.</t>
  </si>
  <si>
    <t>Жим стоя</t>
  </si>
  <si>
    <t>Ларионов Дмитрий</t>
  </si>
  <si>
    <t>1. Ларионов Дмитрий</t>
  </si>
  <si>
    <t>Мастера 40 - 44 (12.05.1979)/40</t>
  </si>
  <si>
    <t>82,30</t>
  </si>
  <si>
    <t xml:space="preserve">Планета Фитнеса Амерхан </t>
  </si>
  <si>
    <t xml:space="preserve">Казань/Татарстан </t>
  </si>
  <si>
    <t>75,0</t>
  </si>
  <si>
    <t>82,5</t>
  </si>
  <si>
    <t xml:space="preserve">Кирьянов Александр </t>
  </si>
  <si>
    <t>49,6240</t>
  </si>
  <si>
    <t>Кубок Европы
Одиночный подъём штанги на бицепс Любители
Балахна/Нижегородская область 20 - 21 декабря 2019 г.</t>
  </si>
  <si>
    <t>Подъем на бицепс</t>
  </si>
  <si>
    <t>Гайнуллин Сергей</t>
  </si>
  <si>
    <t>1. Гайнуллин Сергей</t>
  </si>
  <si>
    <t>Мастера 40 - 44 (30.06.1976)/43</t>
  </si>
  <si>
    <t>70,75</t>
  </si>
  <si>
    <t>40,0</t>
  </si>
  <si>
    <t xml:space="preserve">Фаттахов Ришат </t>
  </si>
  <si>
    <t>65,0</t>
  </si>
  <si>
    <t>Кирин Андрей</t>
  </si>
  <si>
    <t>1. Кирин Андрей</t>
  </si>
  <si>
    <t>Открытая (30.03.1986)/33</t>
  </si>
  <si>
    <t>89,00</t>
  </si>
  <si>
    <t xml:space="preserve">Ковров/Владимирская область </t>
  </si>
  <si>
    <t>62,5</t>
  </si>
  <si>
    <t>67,5</t>
  </si>
  <si>
    <t>70,0</t>
  </si>
  <si>
    <t>39,7777</t>
  </si>
  <si>
    <t>40,3195</t>
  </si>
  <si>
    <t>35,4671</t>
  </si>
  <si>
    <t>Кубок Европы
Пауэрспорт Любители
Балахна/Нижегородская область 20 - 21 декабря 2019 г.</t>
  </si>
  <si>
    <t>Гордеев Роман</t>
  </si>
  <si>
    <t>1. Гордеев Роман</t>
  </si>
  <si>
    <t>Открытая (13.09.1993)/26</t>
  </si>
  <si>
    <t>112,80</t>
  </si>
  <si>
    <t xml:space="preserve">Решетников Александр </t>
  </si>
  <si>
    <t>64,0080</t>
  </si>
  <si>
    <t>89,9435</t>
  </si>
  <si>
    <t>Кубок Европы
Русский жим профессионалы 55 кг.
Балахна/Нижегородская область 20 - 21 декабря 2019 г.</t>
  </si>
  <si>
    <t>Атлетизм</t>
  </si>
  <si>
    <t>Русский жим</t>
  </si>
  <si>
    <t>ВЕСОВАЯ КАТЕГОРИЯ   All</t>
  </si>
  <si>
    <t>Пьянков Константин</t>
  </si>
  <si>
    <t>1. Пьянков Константин</t>
  </si>
  <si>
    <t>Мастера 50 - 54 (11.05.1966)/53</t>
  </si>
  <si>
    <t>96,40</t>
  </si>
  <si>
    <t>270,0</t>
  </si>
  <si>
    <t xml:space="preserve">Воронин Евгений </t>
  </si>
  <si>
    <t xml:space="preserve">Атлетизм </t>
  </si>
  <si>
    <t>All</t>
  </si>
  <si>
    <t>14850,0</t>
  </si>
  <si>
    <t>154,0456</t>
  </si>
  <si>
    <t>Кубок Европы
Русский жим любители 55 кг.
Балахна/Нижегородская область 20 - 21 декабря 2019 г.</t>
  </si>
  <si>
    <t>Кузнецов Максим</t>
  </si>
  <si>
    <t>1. Кузнецов Максим</t>
  </si>
  <si>
    <t>Открытая (05.11.1991)/28</t>
  </si>
  <si>
    <t>112,0</t>
  </si>
  <si>
    <t xml:space="preserve">Киян Андрей </t>
  </si>
  <si>
    <t>Маркин Евгений</t>
  </si>
  <si>
    <t>2. Маркин Евгений</t>
  </si>
  <si>
    <t>Открытая (10.09.1983)/36</t>
  </si>
  <si>
    <t>81,00</t>
  </si>
  <si>
    <t xml:space="preserve">Павлово/Нижегородская область </t>
  </si>
  <si>
    <t>81,0</t>
  </si>
  <si>
    <t>Решетников Александр</t>
  </si>
  <si>
    <t>3. Решетников Александр</t>
  </si>
  <si>
    <t>Открытая (29.05.1990)/29</t>
  </si>
  <si>
    <t>79,60</t>
  </si>
  <si>
    <t>79,0</t>
  </si>
  <si>
    <t>4. Гордеев Роман</t>
  </si>
  <si>
    <t>53,0</t>
  </si>
  <si>
    <t>Кротенко Дмитрий</t>
  </si>
  <si>
    <t>5. Кротенко Дмитрий</t>
  </si>
  <si>
    <t>Открытая (27.02.1987)/32</t>
  </si>
  <si>
    <t>86,15</t>
  </si>
  <si>
    <t xml:space="preserve">Фрязино/Московская область </t>
  </si>
  <si>
    <t>51,0</t>
  </si>
  <si>
    <t>Телицын Дмитрий</t>
  </si>
  <si>
    <t>6. Телицын Дмитрий</t>
  </si>
  <si>
    <t>Открытая (03.10.1980)/39</t>
  </si>
  <si>
    <t>78,85</t>
  </si>
  <si>
    <t>31,0</t>
  </si>
  <si>
    <t>Федоров Альберт</t>
  </si>
  <si>
    <t>1. Федоров Альберт</t>
  </si>
  <si>
    <t>Мастера 40 - 44 (15.01.1977)/42</t>
  </si>
  <si>
    <t>64,20</t>
  </si>
  <si>
    <t xml:space="preserve">Йошкар-Ола/Марий Эл </t>
  </si>
  <si>
    <t>44,0</t>
  </si>
  <si>
    <t>6160,0</t>
  </si>
  <si>
    <t>69,9205</t>
  </si>
  <si>
    <t>4455,0</t>
  </si>
  <si>
    <t>55,0000</t>
  </si>
  <si>
    <t>4345,0</t>
  </si>
  <si>
    <t>54,5854</t>
  </si>
  <si>
    <t>2805,0</t>
  </si>
  <si>
    <t>32,5594</t>
  </si>
  <si>
    <t>2915,0</t>
  </si>
  <si>
    <t>25,8421</t>
  </si>
  <si>
    <t>1705,0</t>
  </si>
  <si>
    <t>21,6233</t>
  </si>
  <si>
    <t>2420,0</t>
  </si>
  <si>
    <t>37,6947</t>
  </si>
  <si>
    <t>Коробейников Д.Ю.</t>
  </si>
  <si>
    <t>Соколов Е.Л.</t>
  </si>
  <si>
    <t>Буцкий А.С.</t>
  </si>
  <si>
    <t>Коробейников М.Ю.</t>
  </si>
  <si>
    <t>Лыков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</si>
</sst>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14" sqref="F14:F1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0.75390625" style="4" bestFit="1" customWidth="1"/>
    <col min="7" max="7" width="6.125" style="3" customWidth="1"/>
    <col min="8" max="8" width="11.375" style="27" customWidth="1"/>
    <col min="9" max="9" width="9.75390625" style="4" customWidth="1"/>
    <col min="10" max="10" width="7.625" style="3" bestFit="1" customWidth="1"/>
    <col min="11" max="11" width="22.25390625" style="4" bestFit="1" customWidth="1"/>
    <col min="12" max="16384" width="9.125" style="3" customWidth="1"/>
  </cols>
  <sheetData>
    <row r="1" spans="1:11" s="2" customFormat="1" ht="28.5" customHeight="1">
      <c r="A1" s="38" t="s">
        <v>368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3" t="s">
        <v>355</v>
      </c>
      <c r="E3" s="33" t="s">
        <v>4</v>
      </c>
      <c r="F3" s="33" t="s">
        <v>8</v>
      </c>
      <c r="G3" s="33" t="s">
        <v>356</v>
      </c>
      <c r="H3" s="33"/>
      <c r="I3" s="33" t="s">
        <v>297</v>
      </c>
      <c r="J3" s="33" t="s">
        <v>3</v>
      </c>
      <c r="K3" s="35" t="s">
        <v>2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295</v>
      </c>
      <c r="H4" s="26" t="s">
        <v>296</v>
      </c>
      <c r="I4" s="34"/>
      <c r="J4" s="34"/>
      <c r="K4" s="36"/>
    </row>
    <row r="5" spans="1:10" ht="15">
      <c r="A5" s="37" t="s">
        <v>357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17" t="s">
        <v>370</v>
      </c>
      <c r="B6" s="17" t="s">
        <v>371</v>
      </c>
      <c r="C6" s="17" t="s">
        <v>168</v>
      </c>
      <c r="D6" s="17" t="str">
        <f aca="true" t="shared" si="0" ref="D6:D12">"1,0000"</f>
        <v>1,0000</v>
      </c>
      <c r="E6" s="17" t="s">
        <v>106</v>
      </c>
      <c r="F6" s="17" t="s">
        <v>185</v>
      </c>
      <c r="G6" s="19" t="s">
        <v>284</v>
      </c>
      <c r="H6" s="28" t="s">
        <v>372</v>
      </c>
      <c r="I6" s="17" t="str">
        <f>"6160,0"</f>
        <v>6160,0</v>
      </c>
      <c r="J6" s="19" t="str">
        <f>"69,9205"</f>
        <v>69,9205</v>
      </c>
      <c r="K6" s="17" t="s">
        <v>373</v>
      </c>
    </row>
    <row r="7" spans="1:11" ht="12.75">
      <c r="A7" s="20" t="s">
        <v>375</v>
      </c>
      <c r="B7" s="20" t="s">
        <v>376</v>
      </c>
      <c r="C7" s="20" t="s">
        <v>377</v>
      </c>
      <c r="D7" s="20" t="str">
        <f t="shared" si="0"/>
        <v>1,0000</v>
      </c>
      <c r="E7" s="20" t="s">
        <v>65</v>
      </c>
      <c r="F7" s="20" t="s">
        <v>378</v>
      </c>
      <c r="G7" s="22" t="s">
        <v>284</v>
      </c>
      <c r="H7" s="31" t="s">
        <v>379</v>
      </c>
      <c r="I7" s="20" t="str">
        <f>"4455,0"</f>
        <v>4455,0</v>
      </c>
      <c r="J7" s="22" t="str">
        <f>"55,0000"</f>
        <v>55,0000</v>
      </c>
      <c r="K7" s="20" t="s">
        <v>59</v>
      </c>
    </row>
    <row r="8" spans="1:11" ht="12.75">
      <c r="A8" s="20" t="s">
        <v>381</v>
      </c>
      <c r="B8" s="20" t="s">
        <v>382</v>
      </c>
      <c r="C8" s="20" t="s">
        <v>383</v>
      </c>
      <c r="D8" s="20" t="str">
        <f t="shared" si="0"/>
        <v>1,0000</v>
      </c>
      <c r="E8" s="20" t="s">
        <v>106</v>
      </c>
      <c r="F8" s="20" t="s">
        <v>185</v>
      </c>
      <c r="G8" s="22" t="s">
        <v>284</v>
      </c>
      <c r="H8" s="31" t="s">
        <v>384</v>
      </c>
      <c r="I8" s="20" t="str">
        <f>"4345,0"</f>
        <v>4345,0</v>
      </c>
      <c r="J8" s="22" t="str">
        <f>"54,5854"</f>
        <v>54,5854</v>
      </c>
      <c r="K8" s="20" t="s">
        <v>373</v>
      </c>
    </row>
    <row r="9" spans="1:11" ht="12.75">
      <c r="A9" s="20" t="s">
        <v>385</v>
      </c>
      <c r="B9" s="20" t="s">
        <v>349</v>
      </c>
      <c r="C9" s="20" t="s">
        <v>350</v>
      </c>
      <c r="D9" s="20" t="str">
        <f t="shared" si="0"/>
        <v>1,0000</v>
      </c>
      <c r="E9" s="20" t="s">
        <v>106</v>
      </c>
      <c r="F9" s="20" t="s">
        <v>185</v>
      </c>
      <c r="G9" s="22" t="s">
        <v>284</v>
      </c>
      <c r="H9" s="31" t="s">
        <v>386</v>
      </c>
      <c r="I9" s="20" t="str">
        <f>"2915,0"</f>
        <v>2915,0</v>
      </c>
      <c r="J9" s="22" t="str">
        <f>"25,8421"</f>
        <v>25,8421</v>
      </c>
      <c r="K9" s="20" t="s">
        <v>351</v>
      </c>
    </row>
    <row r="10" spans="1:11" ht="12.75">
      <c r="A10" s="20" t="s">
        <v>388</v>
      </c>
      <c r="B10" s="20" t="s">
        <v>389</v>
      </c>
      <c r="C10" s="20" t="s">
        <v>390</v>
      </c>
      <c r="D10" s="20" t="str">
        <f t="shared" si="0"/>
        <v>1,0000</v>
      </c>
      <c r="E10" s="20" t="s">
        <v>65</v>
      </c>
      <c r="F10" s="20" t="s">
        <v>391</v>
      </c>
      <c r="G10" s="22" t="s">
        <v>284</v>
      </c>
      <c r="H10" s="31" t="s">
        <v>392</v>
      </c>
      <c r="I10" s="20" t="str">
        <f>"2805,0"</f>
        <v>2805,0</v>
      </c>
      <c r="J10" s="22" t="str">
        <f>"32,5594"</f>
        <v>32,5594</v>
      </c>
      <c r="K10" s="20" t="s">
        <v>59</v>
      </c>
    </row>
    <row r="11" spans="1:11" ht="12.75">
      <c r="A11" s="20" t="s">
        <v>394</v>
      </c>
      <c r="B11" s="20" t="s">
        <v>395</v>
      </c>
      <c r="C11" s="20" t="s">
        <v>396</v>
      </c>
      <c r="D11" s="20" t="str">
        <f t="shared" si="0"/>
        <v>1,0000</v>
      </c>
      <c r="E11" s="20" t="s">
        <v>106</v>
      </c>
      <c r="F11" s="20" t="s">
        <v>185</v>
      </c>
      <c r="G11" s="22" t="s">
        <v>284</v>
      </c>
      <c r="H11" s="31" t="s">
        <v>397</v>
      </c>
      <c r="I11" s="20" t="str">
        <f>"1705,0"</f>
        <v>1705,0</v>
      </c>
      <c r="J11" s="22" t="str">
        <f>"21,6233"</f>
        <v>21,6233</v>
      </c>
      <c r="K11" s="20" t="s">
        <v>351</v>
      </c>
    </row>
    <row r="12" spans="1:11" ht="12.75">
      <c r="A12" s="23" t="s">
        <v>399</v>
      </c>
      <c r="B12" s="23" t="s">
        <v>400</v>
      </c>
      <c r="C12" s="23" t="s">
        <v>401</v>
      </c>
      <c r="D12" s="23" t="str">
        <f t="shared" si="0"/>
        <v>1,0000</v>
      </c>
      <c r="E12" s="23" t="s">
        <v>106</v>
      </c>
      <c r="F12" s="23" t="s">
        <v>402</v>
      </c>
      <c r="G12" s="25" t="s">
        <v>284</v>
      </c>
      <c r="H12" s="29" t="s">
        <v>403</v>
      </c>
      <c r="I12" s="23" t="str">
        <f>"2420,0"</f>
        <v>2420,0</v>
      </c>
      <c r="J12" s="25" t="str">
        <f>"37,6947"</f>
        <v>37,6947</v>
      </c>
      <c r="K12" s="23" t="s">
        <v>59</v>
      </c>
    </row>
    <row r="14" spans="5:6" ht="15">
      <c r="E14" s="9" t="s">
        <v>28</v>
      </c>
      <c r="F14" s="32" t="s">
        <v>419</v>
      </c>
    </row>
    <row r="15" spans="5:6" ht="15">
      <c r="E15" s="9" t="s">
        <v>29</v>
      </c>
      <c r="F15" s="32" t="s">
        <v>420</v>
      </c>
    </row>
    <row r="16" spans="5:6" ht="15">
      <c r="E16" s="9" t="s">
        <v>30</v>
      </c>
      <c r="F16" s="32" t="s">
        <v>418</v>
      </c>
    </row>
    <row r="17" spans="5:6" ht="15">
      <c r="E17" s="9" t="s">
        <v>31</v>
      </c>
      <c r="F17" s="32" t="s">
        <v>421</v>
      </c>
    </row>
    <row r="18" spans="5:6" ht="15">
      <c r="E18" s="9" t="s">
        <v>31</v>
      </c>
      <c r="F18" s="32" t="s">
        <v>422</v>
      </c>
    </row>
    <row r="19" ht="15">
      <c r="E19" s="9"/>
    </row>
    <row r="20" ht="15">
      <c r="E20" s="9"/>
    </row>
    <row r="22" spans="1:2" ht="18">
      <c r="A22" s="10" t="s">
        <v>32</v>
      </c>
      <c r="B22" s="10"/>
    </row>
    <row r="23" spans="1:2" ht="15">
      <c r="A23" s="11" t="s">
        <v>77</v>
      </c>
      <c r="B23" s="11"/>
    </row>
    <row r="24" spans="1:2" ht="14.25">
      <c r="A24" s="13"/>
      <c r="B24" s="14" t="s">
        <v>34</v>
      </c>
    </row>
    <row r="25" spans="1:5" ht="15">
      <c r="A25" s="15" t="s">
        <v>35</v>
      </c>
      <c r="B25" s="15" t="s">
        <v>36</v>
      </c>
      <c r="C25" s="15" t="s">
        <v>37</v>
      </c>
      <c r="D25" s="15" t="s">
        <v>38</v>
      </c>
      <c r="E25" s="15" t="s">
        <v>364</v>
      </c>
    </row>
    <row r="26" spans="1:5" ht="12.75">
      <c r="A26" s="12" t="s">
        <v>369</v>
      </c>
      <c r="B26" s="4" t="s">
        <v>34</v>
      </c>
      <c r="C26" s="4" t="s">
        <v>365</v>
      </c>
      <c r="D26" s="4" t="s">
        <v>404</v>
      </c>
      <c r="E26" s="16" t="s">
        <v>405</v>
      </c>
    </row>
    <row r="27" spans="1:5" ht="12.75">
      <c r="A27" s="12" t="s">
        <v>374</v>
      </c>
      <c r="B27" s="4" t="s">
        <v>34</v>
      </c>
      <c r="C27" s="4" t="s">
        <v>365</v>
      </c>
      <c r="D27" s="4" t="s">
        <v>406</v>
      </c>
      <c r="E27" s="16" t="s">
        <v>407</v>
      </c>
    </row>
    <row r="28" spans="1:5" ht="12.75">
      <c r="A28" s="12" t="s">
        <v>380</v>
      </c>
      <c r="B28" s="4" t="s">
        <v>34</v>
      </c>
      <c r="C28" s="4" t="s">
        <v>365</v>
      </c>
      <c r="D28" s="4" t="s">
        <v>408</v>
      </c>
      <c r="E28" s="16" t="s">
        <v>409</v>
      </c>
    </row>
    <row r="29" spans="1:5" ht="12.75">
      <c r="A29" s="12" t="s">
        <v>387</v>
      </c>
      <c r="B29" s="4" t="s">
        <v>34</v>
      </c>
      <c r="C29" s="4" t="s">
        <v>365</v>
      </c>
      <c r="D29" s="4" t="s">
        <v>410</v>
      </c>
      <c r="E29" s="16" t="s">
        <v>411</v>
      </c>
    </row>
    <row r="30" spans="1:5" ht="12.75">
      <c r="A30" s="12" t="s">
        <v>347</v>
      </c>
      <c r="B30" s="4" t="s">
        <v>34</v>
      </c>
      <c r="C30" s="4" t="s">
        <v>365</v>
      </c>
      <c r="D30" s="4" t="s">
        <v>412</v>
      </c>
      <c r="E30" s="16" t="s">
        <v>413</v>
      </c>
    </row>
    <row r="31" spans="1:5" ht="12.75">
      <c r="A31" s="12" t="s">
        <v>393</v>
      </c>
      <c r="B31" s="4" t="s">
        <v>34</v>
      </c>
      <c r="C31" s="4" t="s">
        <v>365</v>
      </c>
      <c r="D31" s="4" t="s">
        <v>414</v>
      </c>
      <c r="E31" s="16" t="s">
        <v>415</v>
      </c>
    </row>
    <row r="33" spans="1:2" ht="14.25">
      <c r="A33" s="13"/>
      <c r="B33" s="14" t="s">
        <v>86</v>
      </c>
    </row>
    <row r="34" spans="1:5" ht="15">
      <c r="A34" s="15" t="s">
        <v>35</v>
      </c>
      <c r="B34" s="15" t="s">
        <v>36</v>
      </c>
      <c r="C34" s="15" t="s">
        <v>37</v>
      </c>
      <c r="D34" s="15" t="s">
        <v>38</v>
      </c>
      <c r="E34" s="15" t="s">
        <v>364</v>
      </c>
    </row>
    <row r="35" spans="1:5" ht="12.75">
      <c r="A35" s="12" t="s">
        <v>398</v>
      </c>
      <c r="B35" s="4" t="s">
        <v>215</v>
      </c>
      <c r="C35" s="4" t="s">
        <v>365</v>
      </c>
      <c r="D35" s="4" t="s">
        <v>416</v>
      </c>
      <c r="E35" s="16" t="s">
        <v>417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9.00390625" style="4" bestFit="1" customWidth="1"/>
    <col min="7" max="9" width="5.625" style="3" bestFit="1" customWidth="1"/>
    <col min="10" max="10" width="6.25390625" style="3" customWidth="1"/>
    <col min="11" max="11" width="10.875" style="4" customWidth="1"/>
    <col min="12" max="12" width="8.625" style="3" bestFit="1" customWidth="1"/>
    <col min="13" max="13" width="30.75390625" style="4" bestFit="1" customWidth="1"/>
    <col min="14" max="16384" width="9.125" style="3" customWidth="1"/>
  </cols>
  <sheetData>
    <row r="1" spans="1:13" s="2" customFormat="1" ht="28.5" customHeight="1">
      <c r="A1" s="38" t="s">
        <v>220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12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17" t="s">
        <v>222</v>
      </c>
      <c r="B6" s="17" t="s">
        <v>223</v>
      </c>
      <c r="C6" s="17" t="s">
        <v>224</v>
      </c>
      <c r="D6" s="17" t="str">
        <f>"0,6230"</f>
        <v>0,6230</v>
      </c>
      <c r="E6" s="17" t="s">
        <v>106</v>
      </c>
      <c r="F6" s="17" t="s">
        <v>107</v>
      </c>
      <c r="G6" s="19" t="s">
        <v>225</v>
      </c>
      <c r="H6" s="19" t="s">
        <v>159</v>
      </c>
      <c r="I6" s="19" t="s">
        <v>75</v>
      </c>
      <c r="J6" s="18"/>
      <c r="K6" s="17" t="str">
        <f>"157,5"</f>
        <v>157,5</v>
      </c>
      <c r="L6" s="19" t="str">
        <f>"98,1225"</f>
        <v>98,1225</v>
      </c>
      <c r="M6" s="17" t="s">
        <v>59</v>
      </c>
    </row>
    <row r="7" spans="1:13" ht="12.75">
      <c r="A7" s="23" t="s">
        <v>227</v>
      </c>
      <c r="B7" s="23" t="s">
        <v>228</v>
      </c>
      <c r="C7" s="23" t="s">
        <v>229</v>
      </c>
      <c r="D7" s="23" t="str">
        <f>"0,6385"</f>
        <v>0,6385</v>
      </c>
      <c r="E7" s="23" t="s">
        <v>65</v>
      </c>
      <c r="F7" s="23" t="s">
        <v>132</v>
      </c>
      <c r="G7" s="24" t="s">
        <v>69</v>
      </c>
      <c r="H7" s="25" t="s">
        <v>69</v>
      </c>
      <c r="I7" s="24" t="s">
        <v>159</v>
      </c>
      <c r="J7" s="24"/>
      <c r="K7" s="23" t="str">
        <f>"145,0"</f>
        <v>145,0</v>
      </c>
      <c r="L7" s="25" t="str">
        <f>"92,5825"</f>
        <v>92,5825</v>
      </c>
      <c r="M7" s="23" t="s">
        <v>230</v>
      </c>
    </row>
    <row r="9" spans="1:12" ht="15">
      <c r="A9" s="47" t="s">
        <v>60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ht="12.75">
      <c r="A10" s="6" t="s">
        <v>232</v>
      </c>
      <c r="B10" s="6" t="s">
        <v>233</v>
      </c>
      <c r="C10" s="6" t="s">
        <v>234</v>
      </c>
      <c r="D10" s="6" t="str">
        <f>"0,5597"</f>
        <v>0,5597</v>
      </c>
      <c r="E10" s="6" t="s">
        <v>65</v>
      </c>
      <c r="F10" s="6" t="s">
        <v>132</v>
      </c>
      <c r="G10" s="7" t="s">
        <v>193</v>
      </c>
      <c r="H10" s="8" t="s">
        <v>235</v>
      </c>
      <c r="I10" s="7" t="s">
        <v>21</v>
      </c>
      <c r="J10" s="7"/>
      <c r="K10" s="6" t="str">
        <f>"187,5"</f>
        <v>187,5</v>
      </c>
      <c r="L10" s="8" t="str">
        <f>"104,9438"</f>
        <v>104,9438</v>
      </c>
      <c r="M10" s="6" t="s">
        <v>171</v>
      </c>
    </row>
    <row r="12" spans="1:12" ht="15">
      <c r="A12" s="47" t="s">
        <v>70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ht="12.75">
      <c r="A13" s="6" t="s">
        <v>237</v>
      </c>
      <c r="B13" s="6" t="s">
        <v>238</v>
      </c>
      <c r="C13" s="6" t="s">
        <v>239</v>
      </c>
      <c r="D13" s="6" t="str">
        <f>"0,5378"</f>
        <v>0,5378</v>
      </c>
      <c r="E13" s="6" t="s">
        <v>65</v>
      </c>
      <c r="F13" s="6" t="s">
        <v>132</v>
      </c>
      <c r="G13" s="8" t="s">
        <v>21</v>
      </c>
      <c r="H13" s="7" t="s">
        <v>57</v>
      </c>
      <c r="I13" s="7" t="s">
        <v>57</v>
      </c>
      <c r="J13" s="7"/>
      <c r="K13" s="6" t="str">
        <f>"190,0"</f>
        <v>190,0</v>
      </c>
      <c r="L13" s="8" t="str">
        <f>"111,5827"</f>
        <v>111,5827</v>
      </c>
      <c r="M13" s="6" t="s">
        <v>59</v>
      </c>
    </row>
    <row r="15" spans="5:6" ht="15">
      <c r="E15" s="9" t="s">
        <v>28</v>
      </c>
      <c r="F15" s="32" t="s">
        <v>419</v>
      </c>
    </row>
    <row r="16" spans="5:6" ht="15">
      <c r="E16" s="9" t="s">
        <v>29</v>
      </c>
      <c r="F16" s="32" t="s">
        <v>420</v>
      </c>
    </row>
    <row r="17" spans="5:6" ht="15">
      <c r="E17" s="9" t="s">
        <v>30</v>
      </c>
      <c r="F17" s="32" t="s">
        <v>418</v>
      </c>
    </row>
    <row r="18" spans="5:6" ht="15">
      <c r="E18" s="9" t="s">
        <v>31</v>
      </c>
      <c r="F18" s="32" t="s">
        <v>421</v>
      </c>
    </row>
    <row r="19" spans="5:6" ht="15">
      <c r="E19" s="9" t="s">
        <v>31</v>
      </c>
      <c r="F19" s="32" t="s">
        <v>422</v>
      </c>
    </row>
    <row r="20" ht="15">
      <c r="E20" s="9"/>
    </row>
    <row r="21" ht="15">
      <c r="E21" s="9"/>
    </row>
    <row r="23" spans="1:2" ht="18">
      <c r="A23" s="10" t="s">
        <v>32</v>
      </c>
      <c r="B23" s="10"/>
    </row>
    <row r="24" spans="1:2" ht="15">
      <c r="A24" s="11" t="s">
        <v>77</v>
      </c>
      <c r="B24" s="11"/>
    </row>
    <row r="25" spans="1:2" ht="14.25">
      <c r="A25" s="13"/>
      <c r="B25" s="14" t="s">
        <v>34</v>
      </c>
    </row>
    <row r="26" spans="1:5" ht="15">
      <c r="A26" s="15" t="s">
        <v>35</v>
      </c>
      <c r="B26" s="15" t="s">
        <v>36</v>
      </c>
      <c r="C26" s="15" t="s">
        <v>37</v>
      </c>
      <c r="D26" s="15" t="s">
        <v>38</v>
      </c>
      <c r="E26" s="15" t="s">
        <v>39</v>
      </c>
    </row>
    <row r="27" spans="1:5" ht="12.75">
      <c r="A27" s="12" t="s">
        <v>231</v>
      </c>
      <c r="B27" s="4" t="s">
        <v>34</v>
      </c>
      <c r="C27" s="4" t="s">
        <v>88</v>
      </c>
      <c r="D27" s="4" t="s">
        <v>235</v>
      </c>
      <c r="E27" s="16" t="s">
        <v>240</v>
      </c>
    </row>
    <row r="28" spans="1:5" ht="12.75">
      <c r="A28" s="12" t="s">
        <v>221</v>
      </c>
      <c r="B28" s="4" t="s">
        <v>34</v>
      </c>
      <c r="C28" s="4" t="s">
        <v>83</v>
      </c>
      <c r="D28" s="4" t="s">
        <v>75</v>
      </c>
      <c r="E28" s="16" t="s">
        <v>241</v>
      </c>
    </row>
    <row r="29" spans="1:5" ht="12.75">
      <c r="A29" s="12" t="s">
        <v>226</v>
      </c>
      <c r="B29" s="4" t="s">
        <v>34</v>
      </c>
      <c r="C29" s="4" t="s">
        <v>83</v>
      </c>
      <c r="D29" s="4" t="s">
        <v>69</v>
      </c>
      <c r="E29" s="16" t="s">
        <v>242</v>
      </c>
    </row>
    <row r="31" spans="1:2" ht="14.25">
      <c r="A31" s="13"/>
      <c r="B31" s="14" t="s">
        <v>86</v>
      </c>
    </row>
    <row r="32" spans="1:5" ht="15">
      <c r="A32" s="15" t="s">
        <v>35</v>
      </c>
      <c r="B32" s="15" t="s">
        <v>36</v>
      </c>
      <c r="C32" s="15" t="s">
        <v>37</v>
      </c>
      <c r="D32" s="15" t="s">
        <v>38</v>
      </c>
      <c r="E32" s="15" t="s">
        <v>39</v>
      </c>
    </row>
    <row r="33" spans="1:5" ht="12.75">
      <c r="A33" s="12" t="s">
        <v>236</v>
      </c>
      <c r="B33" s="4" t="s">
        <v>98</v>
      </c>
      <c r="C33" s="4" t="s">
        <v>80</v>
      </c>
      <c r="D33" s="4" t="s">
        <v>21</v>
      </c>
      <c r="E33" s="16" t="s">
        <v>243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26.75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9.00390625" style="4" bestFit="1" customWidth="1"/>
    <col min="7" max="9" width="5.625" style="3" bestFit="1" customWidth="1"/>
    <col min="10" max="10" width="4.875" style="3" bestFit="1" customWidth="1"/>
    <col min="11" max="11" width="10.625" style="4" customWidth="1"/>
    <col min="12" max="12" width="8.625" style="3" bestFit="1" customWidth="1"/>
    <col min="13" max="13" width="30.75390625" style="4" bestFit="1" customWidth="1"/>
    <col min="14" max="16384" width="9.125" style="3" customWidth="1"/>
  </cols>
  <sheetData>
    <row r="1" spans="1:13" s="2" customFormat="1" ht="28.5" customHeigh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12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102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6" t="s">
        <v>103</v>
      </c>
      <c r="B6" s="6" t="s">
        <v>104</v>
      </c>
      <c r="C6" s="6" t="s">
        <v>105</v>
      </c>
      <c r="D6" s="6" t="str">
        <f>"0,6134"</f>
        <v>0,6134</v>
      </c>
      <c r="E6" s="6" t="s">
        <v>106</v>
      </c>
      <c r="F6" s="6" t="s">
        <v>107</v>
      </c>
      <c r="G6" s="7" t="s">
        <v>108</v>
      </c>
      <c r="H6" s="7" t="s">
        <v>109</v>
      </c>
      <c r="I6" s="7" t="s">
        <v>109</v>
      </c>
      <c r="J6" s="7"/>
      <c r="K6" s="6" t="str">
        <f>"0.00"</f>
        <v>0.00</v>
      </c>
      <c r="L6" s="8" t="str">
        <f>"0,0000"</f>
        <v>0,0000</v>
      </c>
      <c r="M6" s="6" t="s">
        <v>110</v>
      </c>
    </row>
    <row r="8" spans="1:12" ht="15">
      <c r="A8" s="47" t="s">
        <v>111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17" t="s">
        <v>113</v>
      </c>
      <c r="B9" s="17" t="s">
        <v>114</v>
      </c>
      <c r="C9" s="17" t="s">
        <v>115</v>
      </c>
      <c r="D9" s="17" t="str">
        <f>"0,7258"</f>
        <v>0,7258</v>
      </c>
      <c r="E9" s="17" t="s">
        <v>49</v>
      </c>
      <c r="F9" s="17" t="s">
        <v>50</v>
      </c>
      <c r="G9" s="18" t="s">
        <v>23</v>
      </c>
      <c r="H9" s="19" t="s">
        <v>23</v>
      </c>
      <c r="I9" s="18" t="s">
        <v>54</v>
      </c>
      <c r="J9" s="18"/>
      <c r="K9" s="17" t="str">
        <f>"95,0"</f>
        <v>95,0</v>
      </c>
      <c r="L9" s="19" t="str">
        <f>"84,8097"</f>
        <v>84,8097</v>
      </c>
      <c r="M9" s="17" t="s">
        <v>116</v>
      </c>
    </row>
    <row r="10" spans="1:13" ht="12.75">
      <c r="A10" s="20" t="s">
        <v>118</v>
      </c>
      <c r="B10" s="20" t="s">
        <v>119</v>
      </c>
      <c r="C10" s="20" t="s">
        <v>120</v>
      </c>
      <c r="D10" s="20" t="str">
        <f>"0,7347"</f>
        <v>0,7347</v>
      </c>
      <c r="E10" s="20" t="s">
        <v>49</v>
      </c>
      <c r="F10" s="20" t="s">
        <v>50</v>
      </c>
      <c r="G10" s="22" t="s">
        <v>121</v>
      </c>
      <c r="H10" s="21" t="s">
        <v>55</v>
      </c>
      <c r="I10" s="21" t="s">
        <v>55</v>
      </c>
      <c r="J10" s="21"/>
      <c r="K10" s="20" t="str">
        <f>"115,0"</f>
        <v>115,0</v>
      </c>
      <c r="L10" s="22" t="str">
        <f>"91,2497"</f>
        <v>91,2497</v>
      </c>
      <c r="M10" s="20" t="s">
        <v>122</v>
      </c>
    </row>
    <row r="11" spans="1:13" ht="12.75">
      <c r="A11" s="20" t="s">
        <v>124</v>
      </c>
      <c r="B11" s="20" t="s">
        <v>125</v>
      </c>
      <c r="C11" s="20" t="s">
        <v>126</v>
      </c>
      <c r="D11" s="20" t="str">
        <f>"0,7625"</f>
        <v>0,7625</v>
      </c>
      <c r="E11" s="20" t="s">
        <v>49</v>
      </c>
      <c r="F11" s="20" t="s">
        <v>50</v>
      </c>
      <c r="G11" s="22" t="s">
        <v>54</v>
      </c>
      <c r="H11" s="22" t="s">
        <v>55</v>
      </c>
      <c r="I11" s="21" t="s">
        <v>127</v>
      </c>
      <c r="J11" s="21"/>
      <c r="K11" s="20" t="str">
        <f>"120,0"</f>
        <v>120,0</v>
      </c>
      <c r="L11" s="22" t="str">
        <f>"92,4150"</f>
        <v>92,4150</v>
      </c>
      <c r="M11" s="20" t="s">
        <v>122</v>
      </c>
    </row>
    <row r="12" spans="1:13" ht="12.75">
      <c r="A12" s="23" t="s">
        <v>129</v>
      </c>
      <c r="B12" s="23" t="s">
        <v>130</v>
      </c>
      <c r="C12" s="23" t="s">
        <v>131</v>
      </c>
      <c r="D12" s="23" t="str">
        <f>"0,7753"</f>
        <v>0,7753</v>
      </c>
      <c r="E12" s="23" t="s">
        <v>65</v>
      </c>
      <c r="F12" s="23" t="s">
        <v>132</v>
      </c>
      <c r="G12" s="25" t="s">
        <v>24</v>
      </c>
      <c r="H12" s="25" t="s">
        <v>54</v>
      </c>
      <c r="I12" s="25" t="s">
        <v>121</v>
      </c>
      <c r="J12" s="24"/>
      <c r="K12" s="23" t="str">
        <f>"115,0"</f>
        <v>115,0</v>
      </c>
      <c r="L12" s="25" t="str">
        <f>"91,8343"</f>
        <v>91,8343</v>
      </c>
      <c r="M12" s="23" t="s">
        <v>59</v>
      </c>
    </row>
    <row r="14" spans="1:12" ht="15">
      <c r="A14" s="47" t="s">
        <v>133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12.75">
      <c r="A15" s="17" t="s">
        <v>135</v>
      </c>
      <c r="B15" s="17" t="s">
        <v>136</v>
      </c>
      <c r="C15" s="17" t="s">
        <v>137</v>
      </c>
      <c r="D15" s="17" t="str">
        <f>"0,6723"</f>
        <v>0,6723</v>
      </c>
      <c r="E15" s="17" t="s">
        <v>49</v>
      </c>
      <c r="F15" s="17" t="s">
        <v>50</v>
      </c>
      <c r="G15" s="19" t="s">
        <v>55</v>
      </c>
      <c r="H15" s="19" t="s">
        <v>56</v>
      </c>
      <c r="I15" s="19" t="s">
        <v>138</v>
      </c>
      <c r="J15" s="18"/>
      <c r="K15" s="17" t="str">
        <f>"130,0"</f>
        <v>130,0</v>
      </c>
      <c r="L15" s="19" t="str">
        <f>"87,3990"</f>
        <v>87,3990</v>
      </c>
      <c r="M15" s="17" t="s">
        <v>122</v>
      </c>
    </row>
    <row r="16" spans="1:13" ht="12.75">
      <c r="A16" s="20" t="s">
        <v>140</v>
      </c>
      <c r="B16" s="20" t="s">
        <v>141</v>
      </c>
      <c r="C16" s="20" t="s">
        <v>142</v>
      </c>
      <c r="D16" s="20" t="str">
        <f>"0,6890"</f>
        <v>0,6890</v>
      </c>
      <c r="E16" s="20" t="s">
        <v>49</v>
      </c>
      <c r="F16" s="20" t="s">
        <v>50</v>
      </c>
      <c r="G16" s="22" t="s">
        <v>55</v>
      </c>
      <c r="H16" s="22" t="s">
        <v>127</v>
      </c>
      <c r="I16" s="22" t="s">
        <v>143</v>
      </c>
      <c r="J16" s="21"/>
      <c r="K16" s="20" t="str">
        <f>"132,5"</f>
        <v>132,5</v>
      </c>
      <c r="L16" s="22" t="str">
        <f>"104,4386"</f>
        <v>104,4386</v>
      </c>
      <c r="M16" s="20" t="s">
        <v>59</v>
      </c>
    </row>
    <row r="17" spans="1:13" ht="12.75">
      <c r="A17" s="23" t="s">
        <v>145</v>
      </c>
      <c r="B17" s="23" t="s">
        <v>146</v>
      </c>
      <c r="C17" s="23" t="s">
        <v>147</v>
      </c>
      <c r="D17" s="23" t="str">
        <f>"0,6645"</f>
        <v>0,6645</v>
      </c>
      <c r="E17" s="23" t="s">
        <v>65</v>
      </c>
      <c r="F17" s="23" t="s">
        <v>66</v>
      </c>
      <c r="G17" s="25" t="s">
        <v>54</v>
      </c>
      <c r="H17" s="25" t="s">
        <v>55</v>
      </c>
      <c r="I17" s="25" t="s">
        <v>148</v>
      </c>
      <c r="J17" s="24"/>
      <c r="K17" s="23" t="str">
        <f>"122,5"</f>
        <v>122,5</v>
      </c>
      <c r="L17" s="25" t="str">
        <f>"169,8030"</f>
        <v>169,8030</v>
      </c>
      <c r="M17" s="23" t="s">
        <v>59</v>
      </c>
    </row>
    <row r="19" spans="1:12" ht="1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3" ht="12.75">
      <c r="A20" s="17" t="s">
        <v>150</v>
      </c>
      <c r="B20" s="17" t="s">
        <v>151</v>
      </c>
      <c r="C20" s="17" t="s">
        <v>48</v>
      </c>
      <c r="D20" s="17" t="str">
        <f>"0,6224"</f>
        <v>0,6224</v>
      </c>
      <c r="E20" s="17" t="s">
        <v>49</v>
      </c>
      <c r="F20" s="17" t="s">
        <v>50</v>
      </c>
      <c r="G20" s="19" t="s">
        <v>67</v>
      </c>
      <c r="H20" s="19" t="s">
        <v>75</v>
      </c>
      <c r="I20" s="19" t="s">
        <v>152</v>
      </c>
      <c r="J20" s="18"/>
      <c r="K20" s="17" t="str">
        <f>"162,5"</f>
        <v>162,5</v>
      </c>
      <c r="L20" s="19" t="str">
        <f>"101,1400"</f>
        <v>101,1400</v>
      </c>
      <c r="M20" s="17" t="s">
        <v>153</v>
      </c>
    </row>
    <row r="21" spans="1:13" ht="12.75">
      <c r="A21" s="23" t="s">
        <v>155</v>
      </c>
      <c r="B21" s="23" t="s">
        <v>156</v>
      </c>
      <c r="C21" s="23" t="s">
        <v>157</v>
      </c>
      <c r="D21" s="23" t="str">
        <f>"0,6412"</f>
        <v>0,6412</v>
      </c>
      <c r="E21" s="23" t="s">
        <v>65</v>
      </c>
      <c r="F21" s="23" t="s">
        <v>50</v>
      </c>
      <c r="G21" s="25" t="s">
        <v>158</v>
      </c>
      <c r="H21" s="25" t="s">
        <v>159</v>
      </c>
      <c r="I21" s="24" t="s">
        <v>68</v>
      </c>
      <c r="J21" s="24"/>
      <c r="K21" s="23" t="str">
        <f>"152,5"</f>
        <v>152,5</v>
      </c>
      <c r="L21" s="25" t="str">
        <f>"97,7830"</f>
        <v>97,7830</v>
      </c>
      <c r="M21" s="23" t="s">
        <v>59</v>
      </c>
    </row>
    <row r="23" spans="1:12" ht="15">
      <c r="A23" s="47" t="s">
        <v>160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3" ht="12.75">
      <c r="A24" s="17" t="s">
        <v>162</v>
      </c>
      <c r="B24" s="17" t="s">
        <v>163</v>
      </c>
      <c r="C24" s="17" t="s">
        <v>164</v>
      </c>
      <c r="D24" s="17" t="str">
        <f>"0,5881"</f>
        <v>0,5881</v>
      </c>
      <c r="E24" s="17" t="s">
        <v>65</v>
      </c>
      <c r="F24" s="17" t="s">
        <v>66</v>
      </c>
      <c r="G24" s="19" t="s">
        <v>67</v>
      </c>
      <c r="H24" s="18" t="s">
        <v>68</v>
      </c>
      <c r="I24" s="18" t="s">
        <v>68</v>
      </c>
      <c r="J24" s="18"/>
      <c r="K24" s="17" t="str">
        <f>"150,0"</f>
        <v>150,0</v>
      </c>
      <c r="L24" s="19" t="str">
        <f>"88,2150"</f>
        <v>88,2150</v>
      </c>
      <c r="M24" s="17" t="s">
        <v>59</v>
      </c>
    </row>
    <row r="25" spans="1:13" ht="12.75">
      <c r="A25" s="20" t="s">
        <v>166</v>
      </c>
      <c r="B25" s="20" t="s">
        <v>167</v>
      </c>
      <c r="C25" s="20" t="s">
        <v>168</v>
      </c>
      <c r="D25" s="20" t="str">
        <f>"0,5930"</f>
        <v>0,5930</v>
      </c>
      <c r="E25" s="20" t="s">
        <v>65</v>
      </c>
      <c r="F25" s="20" t="s">
        <v>132</v>
      </c>
      <c r="G25" s="22" t="s">
        <v>56</v>
      </c>
      <c r="H25" s="22" t="s">
        <v>169</v>
      </c>
      <c r="I25" s="21" t="s">
        <v>170</v>
      </c>
      <c r="J25" s="21"/>
      <c r="K25" s="20" t="str">
        <f>"135,0"</f>
        <v>135,0</v>
      </c>
      <c r="L25" s="22" t="str">
        <f>"80,0550"</f>
        <v>80,0550</v>
      </c>
      <c r="M25" s="20" t="s">
        <v>171</v>
      </c>
    </row>
    <row r="26" spans="1:13" ht="12.75">
      <c r="A26" s="23" t="s">
        <v>173</v>
      </c>
      <c r="B26" s="23" t="s">
        <v>174</v>
      </c>
      <c r="C26" s="23" t="s">
        <v>175</v>
      </c>
      <c r="D26" s="23" t="str">
        <f>"0,5912"</f>
        <v>0,5912</v>
      </c>
      <c r="E26" s="23" t="s">
        <v>65</v>
      </c>
      <c r="F26" s="23" t="s">
        <v>66</v>
      </c>
      <c r="G26" s="24" t="s">
        <v>127</v>
      </c>
      <c r="H26" s="25" t="s">
        <v>127</v>
      </c>
      <c r="I26" s="24" t="s">
        <v>169</v>
      </c>
      <c r="J26" s="24"/>
      <c r="K26" s="23" t="str">
        <f>"127,5"</f>
        <v>127,5</v>
      </c>
      <c r="L26" s="25" t="str">
        <f>"80,5791"</f>
        <v>80,5791</v>
      </c>
      <c r="M26" s="23" t="s">
        <v>59</v>
      </c>
    </row>
    <row r="28" spans="1:12" ht="15">
      <c r="A28" s="47" t="s">
        <v>60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3" ht="12.75">
      <c r="A29" s="6" t="s">
        <v>177</v>
      </c>
      <c r="B29" s="6" t="s">
        <v>178</v>
      </c>
      <c r="C29" s="6" t="s">
        <v>179</v>
      </c>
      <c r="D29" s="6" t="str">
        <f>"0,5572"</f>
        <v>0,5572</v>
      </c>
      <c r="E29" s="6" t="s">
        <v>49</v>
      </c>
      <c r="F29" s="6" t="s">
        <v>50</v>
      </c>
      <c r="G29" s="8" t="s">
        <v>67</v>
      </c>
      <c r="H29" s="8" t="s">
        <v>180</v>
      </c>
      <c r="I29" s="7" t="s">
        <v>25</v>
      </c>
      <c r="J29" s="7"/>
      <c r="K29" s="6" t="str">
        <f>"160,0"</f>
        <v>160,0</v>
      </c>
      <c r="L29" s="8" t="str">
        <f>"97,3452"</f>
        <v>97,3452</v>
      </c>
      <c r="M29" s="6" t="s">
        <v>153</v>
      </c>
    </row>
    <row r="31" spans="1:12" ht="15">
      <c r="A31" s="47" t="s">
        <v>70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3" ht="12.75">
      <c r="A32" s="6" t="s">
        <v>182</v>
      </c>
      <c r="B32" s="6" t="s">
        <v>183</v>
      </c>
      <c r="C32" s="6" t="s">
        <v>184</v>
      </c>
      <c r="D32" s="6" t="str">
        <f>"0,5398"</f>
        <v>0,5398</v>
      </c>
      <c r="E32" s="6" t="s">
        <v>65</v>
      </c>
      <c r="F32" s="6" t="s">
        <v>185</v>
      </c>
      <c r="G32" s="8" t="s">
        <v>180</v>
      </c>
      <c r="H32" s="8" t="s">
        <v>25</v>
      </c>
      <c r="I32" s="7" t="s">
        <v>186</v>
      </c>
      <c r="J32" s="7"/>
      <c r="K32" s="6" t="str">
        <f>"165,0"</f>
        <v>165,0</v>
      </c>
      <c r="L32" s="8" t="str">
        <f>"89,0670"</f>
        <v>89,0670</v>
      </c>
      <c r="M32" s="6" t="s">
        <v>59</v>
      </c>
    </row>
    <row r="34" spans="1:12" ht="15">
      <c r="A34" s="47" t="s">
        <v>187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3" ht="12.75">
      <c r="A35" s="6" t="s">
        <v>189</v>
      </c>
      <c r="B35" s="6" t="s">
        <v>190</v>
      </c>
      <c r="C35" s="6" t="s">
        <v>191</v>
      </c>
      <c r="D35" s="6" t="str">
        <f>"0,5232"</f>
        <v>0,5232</v>
      </c>
      <c r="E35" s="6" t="s">
        <v>192</v>
      </c>
      <c r="F35" s="6" t="s">
        <v>132</v>
      </c>
      <c r="G35" s="8" t="s">
        <v>193</v>
      </c>
      <c r="H35" s="8" t="s">
        <v>21</v>
      </c>
      <c r="I35" s="7" t="s">
        <v>194</v>
      </c>
      <c r="J35" s="7"/>
      <c r="K35" s="6" t="str">
        <f>"190,0"</f>
        <v>190,0</v>
      </c>
      <c r="L35" s="8" t="str">
        <f>"99,3985"</f>
        <v>99,3985</v>
      </c>
      <c r="M35" s="6" t="s">
        <v>59</v>
      </c>
    </row>
    <row r="37" spans="5:6" ht="15">
      <c r="E37" s="9" t="s">
        <v>28</v>
      </c>
      <c r="F37" s="32" t="s">
        <v>419</v>
      </c>
    </row>
    <row r="38" spans="5:6" ht="15">
      <c r="E38" s="9" t="s">
        <v>29</v>
      </c>
      <c r="F38" s="32" t="s">
        <v>420</v>
      </c>
    </row>
    <row r="39" spans="5:6" ht="15">
      <c r="E39" s="9" t="s">
        <v>30</v>
      </c>
      <c r="F39" s="32" t="s">
        <v>418</v>
      </c>
    </row>
    <row r="40" spans="5:6" ht="15">
      <c r="E40" s="9" t="s">
        <v>31</v>
      </c>
      <c r="F40" s="32" t="s">
        <v>421</v>
      </c>
    </row>
    <row r="41" spans="5:6" ht="15">
      <c r="E41" s="9" t="s">
        <v>31</v>
      </c>
      <c r="F41" s="32" t="s">
        <v>422</v>
      </c>
    </row>
    <row r="42" ht="15">
      <c r="E42" s="9"/>
    </row>
    <row r="43" ht="15">
      <c r="E43" s="9"/>
    </row>
    <row r="45" spans="1:2" ht="18">
      <c r="A45" s="10" t="s">
        <v>32</v>
      </c>
      <c r="B45" s="10"/>
    </row>
    <row r="46" spans="1:2" ht="15">
      <c r="A46" s="11" t="s">
        <v>77</v>
      </c>
      <c r="B46" s="11"/>
    </row>
    <row r="47" spans="1:2" ht="14.25">
      <c r="A47" s="13"/>
      <c r="B47" s="14" t="s">
        <v>78</v>
      </c>
    </row>
    <row r="48" spans="1:5" ht="15">
      <c r="A48" s="15" t="s">
        <v>35</v>
      </c>
      <c r="B48" s="15" t="s">
        <v>36</v>
      </c>
      <c r="C48" s="15" t="s">
        <v>37</v>
      </c>
      <c r="D48" s="15" t="s">
        <v>38</v>
      </c>
      <c r="E48" s="15" t="s">
        <v>39</v>
      </c>
    </row>
    <row r="49" spans="1:5" ht="12.75">
      <c r="A49" s="12" t="s">
        <v>117</v>
      </c>
      <c r="B49" s="4" t="s">
        <v>195</v>
      </c>
      <c r="C49" s="4" t="s">
        <v>196</v>
      </c>
      <c r="D49" s="4" t="s">
        <v>121</v>
      </c>
      <c r="E49" s="16" t="s">
        <v>197</v>
      </c>
    </row>
    <row r="50" spans="1:5" ht="12.75">
      <c r="A50" s="12" t="s">
        <v>112</v>
      </c>
      <c r="B50" s="4" t="s">
        <v>198</v>
      </c>
      <c r="C50" s="4" t="s">
        <v>196</v>
      </c>
      <c r="D50" s="4" t="s">
        <v>23</v>
      </c>
      <c r="E50" s="16" t="s">
        <v>199</v>
      </c>
    </row>
    <row r="52" spans="1:2" ht="14.25">
      <c r="A52" s="13"/>
      <c r="B52" s="14" t="s">
        <v>200</v>
      </c>
    </row>
    <row r="53" spans="1:5" ht="15">
      <c r="A53" s="15" t="s">
        <v>35</v>
      </c>
      <c r="B53" s="15" t="s">
        <v>36</v>
      </c>
      <c r="C53" s="15" t="s">
        <v>37</v>
      </c>
      <c r="D53" s="15" t="s">
        <v>38</v>
      </c>
      <c r="E53" s="15" t="s">
        <v>39</v>
      </c>
    </row>
    <row r="54" spans="1:5" ht="12.75">
      <c r="A54" s="12" t="s">
        <v>123</v>
      </c>
      <c r="B54" s="4" t="s">
        <v>201</v>
      </c>
      <c r="C54" s="4" t="s">
        <v>196</v>
      </c>
      <c r="D54" s="4" t="s">
        <v>55</v>
      </c>
      <c r="E54" s="16" t="s">
        <v>202</v>
      </c>
    </row>
    <row r="55" spans="1:5" ht="12.75">
      <c r="A55" s="12" t="s">
        <v>128</v>
      </c>
      <c r="B55" s="4" t="s">
        <v>201</v>
      </c>
      <c r="C55" s="4" t="s">
        <v>196</v>
      </c>
      <c r="D55" s="4" t="s">
        <v>121</v>
      </c>
      <c r="E55" s="16" t="s">
        <v>203</v>
      </c>
    </row>
    <row r="57" spans="1:2" ht="14.25">
      <c r="A57" s="13"/>
      <c r="B57" s="14" t="s">
        <v>34</v>
      </c>
    </row>
    <row r="58" spans="1:5" ht="15">
      <c r="A58" s="15" t="s">
        <v>35</v>
      </c>
      <c r="B58" s="15" t="s">
        <v>36</v>
      </c>
      <c r="C58" s="15" t="s">
        <v>37</v>
      </c>
      <c r="D58" s="15" t="s">
        <v>38</v>
      </c>
      <c r="E58" s="15" t="s">
        <v>39</v>
      </c>
    </row>
    <row r="59" spans="1:5" ht="12.75">
      <c r="A59" s="12" t="s">
        <v>149</v>
      </c>
      <c r="B59" s="4" t="s">
        <v>34</v>
      </c>
      <c r="C59" s="4" t="s">
        <v>83</v>
      </c>
      <c r="D59" s="4" t="s">
        <v>152</v>
      </c>
      <c r="E59" s="16" t="s">
        <v>204</v>
      </c>
    </row>
    <row r="60" spans="1:5" ht="12.75">
      <c r="A60" s="12" t="s">
        <v>154</v>
      </c>
      <c r="B60" s="4" t="s">
        <v>34</v>
      </c>
      <c r="C60" s="4" t="s">
        <v>83</v>
      </c>
      <c r="D60" s="4" t="s">
        <v>159</v>
      </c>
      <c r="E60" s="16" t="s">
        <v>205</v>
      </c>
    </row>
    <row r="61" spans="1:5" ht="12.75">
      <c r="A61" s="12" t="s">
        <v>181</v>
      </c>
      <c r="B61" s="4" t="s">
        <v>34</v>
      </c>
      <c r="C61" s="4" t="s">
        <v>80</v>
      </c>
      <c r="D61" s="4" t="s">
        <v>25</v>
      </c>
      <c r="E61" s="16" t="s">
        <v>206</v>
      </c>
    </row>
    <row r="62" spans="1:5" ht="12.75">
      <c r="A62" s="12" t="s">
        <v>161</v>
      </c>
      <c r="B62" s="4" t="s">
        <v>34</v>
      </c>
      <c r="C62" s="4" t="s">
        <v>207</v>
      </c>
      <c r="D62" s="4" t="s">
        <v>67</v>
      </c>
      <c r="E62" s="16" t="s">
        <v>208</v>
      </c>
    </row>
    <row r="63" spans="1:5" ht="12.75">
      <c r="A63" s="12" t="s">
        <v>134</v>
      </c>
      <c r="B63" s="4" t="s">
        <v>34</v>
      </c>
      <c r="C63" s="4" t="s">
        <v>209</v>
      </c>
      <c r="D63" s="4" t="s">
        <v>138</v>
      </c>
      <c r="E63" s="16" t="s">
        <v>210</v>
      </c>
    </row>
    <row r="64" spans="1:5" ht="12.75">
      <c r="A64" s="12" t="s">
        <v>165</v>
      </c>
      <c r="B64" s="4" t="s">
        <v>34</v>
      </c>
      <c r="C64" s="4" t="s">
        <v>207</v>
      </c>
      <c r="D64" s="4" t="s">
        <v>169</v>
      </c>
      <c r="E64" s="16" t="s">
        <v>211</v>
      </c>
    </row>
    <row r="66" spans="1:2" ht="14.25">
      <c r="A66" s="13"/>
      <c r="B66" s="14" t="s">
        <v>86</v>
      </c>
    </row>
    <row r="67" spans="1:5" ht="15">
      <c r="A67" s="15" t="s">
        <v>35</v>
      </c>
      <c r="B67" s="15" t="s">
        <v>36</v>
      </c>
      <c r="C67" s="15" t="s">
        <v>37</v>
      </c>
      <c r="D67" s="15" t="s">
        <v>38</v>
      </c>
      <c r="E67" s="15" t="s">
        <v>39</v>
      </c>
    </row>
    <row r="68" spans="1:5" ht="12.75">
      <c r="A68" s="12" t="s">
        <v>144</v>
      </c>
      <c r="B68" s="4" t="s">
        <v>212</v>
      </c>
      <c r="C68" s="4" t="s">
        <v>209</v>
      </c>
      <c r="D68" s="4" t="s">
        <v>148</v>
      </c>
      <c r="E68" s="16" t="s">
        <v>213</v>
      </c>
    </row>
    <row r="69" spans="1:5" ht="12.75">
      <c r="A69" s="12" t="s">
        <v>139</v>
      </c>
      <c r="B69" s="4" t="s">
        <v>98</v>
      </c>
      <c r="C69" s="4" t="s">
        <v>209</v>
      </c>
      <c r="D69" s="4" t="s">
        <v>143</v>
      </c>
      <c r="E69" s="16" t="s">
        <v>214</v>
      </c>
    </row>
    <row r="70" spans="1:5" ht="12.75">
      <c r="A70" s="12" t="s">
        <v>188</v>
      </c>
      <c r="B70" s="4" t="s">
        <v>215</v>
      </c>
      <c r="C70" s="4" t="s">
        <v>216</v>
      </c>
      <c r="D70" s="4" t="s">
        <v>21</v>
      </c>
      <c r="E70" s="16" t="s">
        <v>217</v>
      </c>
    </row>
    <row r="71" spans="1:5" ht="12.75">
      <c r="A71" s="12" t="s">
        <v>176</v>
      </c>
      <c r="B71" s="4" t="s">
        <v>98</v>
      </c>
      <c r="C71" s="4" t="s">
        <v>88</v>
      </c>
      <c r="D71" s="4" t="s">
        <v>180</v>
      </c>
      <c r="E71" s="16" t="s">
        <v>218</v>
      </c>
    </row>
    <row r="72" spans="1:5" ht="12.75">
      <c r="A72" s="12" t="s">
        <v>172</v>
      </c>
      <c r="B72" s="4" t="s">
        <v>98</v>
      </c>
      <c r="C72" s="4" t="s">
        <v>207</v>
      </c>
      <c r="D72" s="4" t="s">
        <v>127</v>
      </c>
      <c r="E72" s="16" t="s">
        <v>219</v>
      </c>
    </row>
  </sheetData>
  <sheetProtection/>
  <mergeCells count="19"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9:L19"/>
    <mergeCell ref="A23:L23"/>
    <mergeCell ref="A28:L28"/>
    <mergeCell ref="A31:L31"/>
    <mergeCell ref="A34:L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75390625" style="4" bestFit="1" customWidth="1"/>
    <col min="7" max="8" width="5.625" style="3" bestFit="1" customWidth="1"/>
    <col min="9" max="9" width="4.375" style="3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12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6" t="s">
        <v>93</v>
      </c>
      <c r="B6" s="6" t="s">
        <v>94</v>
      </c>
      <c r="C6" s="6" t="s">
        <v>95</v>
      </c>
      <c r="D6" s="6" t="str">
        <f>"0,5570"</f>
        <v>0,5570</v>
      </c>
      <c r="E6" s="6" t="s">
        <v>49</v>
      </c>
      <c r="F6" s="6" t="s">
        <v>50</v>
      </c>
      <c r="G6" s="8" t="s">
        <v>96</v>
      </c>
      <c r="H6" s="8" t="s">
        <v>97</v>
      </c>
      <c r="I6" s="7"/>
      <c r="J6" s="7"/>
      <c r="K6" s="6" t="str">
        <f>"232,5"</f>
        <v>232,5</v>
      </c>
      <c r="L6" s="8" t="str">
        <f>"138,4382"</f>
        <v>138,4382</v>
      </c>
      <c r="M6" s="6" t="s">
        <v>59</v>
      </c>
    </row>
    <row r="8" spans="5:6" ht="15">
      <c r="E8" s="9" t="s">
        <v>28</v>
      </c>
      <c r="F8" s="32" t="s">
        <v>419</v>
      </c>
    </row>
    <row r="9" spans="5:6" ht="15">
      <c r="E9" s="9" t="s">
        <v>29</v>
      </c>
      <c r="F9" s="32" t="s">
        <v>420</v>
      </c>
    </row>
    <row r="10" spans="5:6" ht="15">
      <c r="E10" s="9" t="s">
        <v>30</v>
      </c>
      <c r="F10" s="32" t="s">
        <v>418</v>
      </c>
    </row>
    <row r="11" spans="5:6" ht="15">
      <c r="E11" s="9" t="s">
        <v>31</v>
      </c>
      <c r="F11" s="32" t="s">
        <v>421</v>
      </c>
    </row>
    <row r="12" spans="5:6" ht="15">
      <c r="E12" s="9" t="s">
        <v>31</v>
      </c>
      <c r="F12" s="32" t="s">
        <v>422</v>
      </c>
    </row>
    <row r="13" ht="15">
      <c r="E13" s="9"/>
    </row>
    <row r="14" ht="15">
      <c r="E14" s="9"/>
    </row>
    <row r="16" spans="1:2" ht="18">
      <c r="A16" s="10" t="s">
        <v>32</v>
      </c>
      <c r="B16" s="10"/>
    </row>
    <row r="17" spans="1:2" ht="15">
      <c r="A17" s="11" t="s">
        <v>77</v>
      </c>
      <c r="B17" s="11"/>
    </row>
    <row r="18" spans="1:2" ht="14.25">
      <c r="A18" s="13"/>
      <c r="B18" s="14" t="s">
        <v>86</v>
      </c>
    </row>
    <row r="19" spans="1:5" ht="15">
      <c r="A19" s="15" t="s">
        <v>35</v>
      </c>
      <c r="B19" s="15" t="s">
        <v>36</v>
      </c>
      <c r="C19" s="15" t="s">
        <v>37</v>
      </c>
      <c r="D19" s="15" t="s">
        <v>38</v>
      </c>
      <c r="E19" s="15" t="s">
        <v>39</v>
      </c>
    </row>
    <row r="20" spans="1:5" ht="12.75">
      <c r="A20" s="12" t="s">
        <v>92</v>
      </c>
      <c r="B20" s="4" t="s">
        <v>98</v>
      </c>
      <c r="C20" s="4" t="s">
        <v>88</v>
      </c>
      <c r="D20" s="4" t="s">
        <v>97</v>
      </c>
      <c r="E20" s="16" t="s">
        <v>99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7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11</v>
      </c>
      <c r="H3" s="33"/>
      <c r="I3" s="33"/>
      <c r="J3" s="33"/>
      <c r="K3" s="33" t="s">
        <v>12</v>
      </c>
      <c r="L3" s="33"/>
      <c r="M3" s="33"/>
      <c r="N3" s="33"/>
      <c r="O3" s="33" t="s">
        <v>13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4"/>
      <c r="T4" s="34"/>
      <c r="U4" s="36"/>
    </row>
    <row r="5" spans="1:20" ht="1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6" t="s">
        <v>46</v>
      </c>
      <c r="B6" s="6" t="s">
        <v>47</v>
      </c>
      <c r="C6" s="6" t="s">
        <v>48</v>
      </c>
      <c r="D6" s="6" t="str">
        <f>"0,6224"</f>
        <v>0,6224</v>
      </c>
      <c r="E6" s="6" t="s">
        <v>49</v>
      </c>
      <c r="F6" s="6" t="s">
        <v>50</v>
      </c>
      <c r="G6" s="8" t="s">
        <v>51</v>
      </c>
      <c r="H6" s="8" t="s">
        <v>52</v>
      </c>
      <c r="I6" s="7" t="s">
        <v>53</v>
      </c>
      <c r="J6" s="7"/>
      <c r="K6" s="8" t="s">
        <v>54</v>
      </c>
      <c r="L6" s="8" t="s">
        <v>55</v>
      </c>
      <c r="M6" s="7" t="s">
        <v>56</v>
      </c>
      <c r="N6" s="7"/>
      <c r="O6" s="8" t="s">
        <v>57</v>
      </c>
      <c r="P6" s="7" t="s">
        <v>58</v>
      </c>
      <c r="Q6" s="7" t="s">
        <v>58</v>
      </c>
      <c r="R6" s="7"/>
      <c r="S6" s="6" t="str">
        <f>"540,0"</f>
        <v>540,0</v>
      </c>
      <c r="T6" s="8" t="str">
        <f>"336,0960"</f>
        <v>336,0960</v>
      </c>
      <c r="U6" s="6" t="s">
        <v>59</v>
      </c>
    </row>
    <row r="8" spans="1:20" ht="15">
      <c r="A8" s="47" t="s">
        <v>60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 ht="12.75">
      <c r="A9" s="6" t="s">
        <v>62</v>
      </c>
      <c r="B9" s="6" t="s">
        <v>63</v>
      </c>
      <c r="C9" s="6" t="s">
        <v>64</v>
      </c>
      <c r="D9" s="6" t="str">
        <f>"0,5610"</f>
        <v>0,5610</v>
      </c>
      <c r="E9" s="6" t="s">
        <v>65</v>
      </c>
      <c r="F9" s="6" t="s">
        <v>66</v>
      </c>
      <c r="G9" s="7" t="s">
        <v>67</v>
      </c>
      <c r="H9" s="8" t="s">
        <v>67</v>
      </c>
      <c r="I9" s="7" t="s">
        <v>68</v>
      </c>
      <c r="J9" s="7"/>
      <c r="K9" s="8" t="s">
        <v>24</v>
      </c>
      <c r="L9" s="7" t="s">
        <v>54</v>
      </c>
      <c r="M9" s="8" t="s">
        <v>54</v>
      </c>
      <c r="N9" s="7"/>
      <c r="O9" s="8" t="s">
        <v>69</v>
      </c>
      <c r="P9" s="8" t="s">
        <v>68</v>
      </c>
      <c r="Q9" s="7"/>
      <c r="R9" s="7"/>
      <c r="S9" s="6" t="str">
        <f>"415,0"</f>
        <v>415,0</v>
      </c>
      <c r="T9" s="8" t="str">
        <f>"370,1758"</f>
        <v>370,1758</v>
      </c>
      <c r="U9" s="6" t="s">
        <v>59</v>
      </c>
    </row>
    <row r="11" spans="1:20" ht="15">
      <c r="A11" s="47" t="s">
        <v>70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12.75">
      <c r="A12" s="6" t="s">
        <v>72</v>
      </c>
      <c r="B12" s="6" t="s">
        <v>73</v>
      </c>
      <c r="C12" s="6" t="s">
        <v>74</v>
      </c>
      <c r="D12" s="6" t="str">
        <f>"0,5432"</f>
        <v>0,5432</v>
      </c>
      <c r="E12" s="6" t="s">
        <v>65</v>
      </c>
      <c r="F12" s="6" t="s">
        <v>66</v>
      </c>
      <c r="G12" s="8" t="s">
        <v>57</v>
      </c>
      <c r="H12" s="8" t="s">
        <v>52</v>
      </c>
      <c r="I12" s="8" t="s">
        <v>53</v>
      </c>
      <c r="J12" s="7"/>
      <c r="K12" s="8" t="s">
        <v>67</v>
      </c>
      <c r="L12" s="8" t="s">
        <v>75</v>
      </c>
      <c r="M12" s="7"/>
      <c r="N12" s="7"/>
      <c r="O12" s="7" t="s">
        <v>57</v>
      </c>
      <c r="P12" s="8" t="s">
        <v>57</v>
      </c>
      <c r="Q12" s="8" t="s">
        <v>76</v>
      </c>
      <c r="R12" s="7"/>
      <c r="S12" s="6" t="str">
        <f>"597,5"</f>
        <v>597,5</v>
      </c>
      <c r="T12" s="8" t="str">
        <f>"337,5445"</f>
        <v>337,5445</v>
      </c>
      <c r="U12" s="6" t="s">
        <v>59</v>
      </c>
    </row>
    <row r="14" spans="5:6" ht="15">
      <c r="E14" s="9" t="s">
        <v>28</v>
      </c>
      <c r="F14" s="32" t="s">
        <v>419</v>
      </c>
    </row>
    <row r="15" spans="5:6" ht="15">
      <c r="E15" s="9" t="s">
        <v>29</v>
      </c>
      <c r="F15" s="32" t="s">
        <v>420</v>
      </c>
    </row>
    <row r="16" spans="5:6" ht="15">
      <c r="E16" s="9" t="s">
        <v>30</v>
      </c>
      <c r="F16" s="32" t="s">
        <v>418</v>
      </c>
    </row>
    <row r="17" spans="5:6" ht="15">
      <c r="E17" s="9" t="s">
        <v>31</v>
      </c>
      <c r="F17" s="32" t="s">
        <v>421</v>
      </c>
    </row>
    <row r="18" spans="5:6" ht="15">
      <c r="E18" s="9" t="s">
        <v>31</v>
      </c>
      <c r="F18" s="32" t="s">
        <v>422</v>
      </c>
    </row>
    <row r="19" ht="15">
      <c r="E19" s="9"/>
    </row>
    <row r="20" ht="15">
      <c r="E20" s="9"/>
    </row>
    <row r="22" spans="1:2" ht="18">
      <c r="A22" s="10" t="s">
        <v>32</v>
      </c>
      <c r="B22" s="10"/>
    </row>
    <row r="23" spans="1:2" ht="15">
      <c r="A23" s="11" t="s">
        <v>77</v>
      </c>
      <c r="B23" s="11"/>
    </row>
    <row r="24" spans="1:2" ht="14.25">
      <c r="A24" s="13"/>
      <c r="B24" s="14" t="s">
        <v>78</v>
      </c>
    </row>
    <row r="25" spans="1:5" ht="15">
      <c r="A25" s="15" t="s">
        <v>35</v>
      </c>
      <c r="B25" s="15" t="s">
        <v>36</v>
      </c>
      <c r="C25" s="15" t="s">
        <v>37</v>
      </c>
      <c r="D25" s="15" t="s">
        <v>38</v>
      </c>
      <c r="E25" s="15" t="s">
        <v>39</v>
      </c>
    </row>
    <row r="26" spans="1:5" ht="12.75">
      <c r="A26" s="12" t="s">
        <v>71</v>
      </c>
      <c r="B26" s="4" t="s">
        <v>79</v>
      </c>
      <c r="C26" s="4" t="s">
        <v>80</v>
      </c>
      <c r="D26" s="4" t="s">
        <v>81</v>
      </c>
      <c r="E26" s="16" t="s">
        <v>82</v>
      </c>
    </row>
    <row r="28" spans="1:2" ht="14.25">
      <c r="A28" s="13"/>
      <c r="B28" s="14" t="s">
        <v>34</v>
      </c>
    </row>
    <row r="29" spans="1:5" ht="15">
      <c r="A29" s="15" t="s">
        <v>35</v>
      </c>
      <c r="B29" s="15" t="s">
        <v>36</v>
      </c>
      <c r="C29" s="15" t="s">
        <v>37</v>
      </c>
      <c r="D29" s="15" t="s">
        <v>38</v>
      </c>
      <c r="E29" s="15" t="s">
        <v>39</v>
      </c>
    </row>
    <row r="30" spans="1:5" ht="12.75">
      <c r="A30" s="12" t="s">
        <v>45</v>
      </c>
      <c r="B30" s="4" t="s">
        <v>34</v>
      </c>
      <c r="C30" s="4" t="s">
        <v>83</v>
      </c>
      <c r="D30" s="4" t="s">
        <v>84</v>
      </c>
      <c r="E30" s="16" t="s">
        <v>85</v>
      </c>
    </row>
    <row r="32" spans="1:2" ht="14.25">
      <c r="A32" s="13"/>
      <c r="B32" s="14" t="s">
        <v>86</v>
      </c>
    </row>
    <row r="33" spans="1:5" ht="15">
      <c r="A33" s="15" t="s">
        <v>35</v>
      </c>
      <c r="B33" s="15" t="s">
        <v>36</v>
      </c>
      <c r="C33" s="15" t="s">
        <v>37</v>
      </c>
      <c r="D33" s="15" t="s">
        <v>38</v>
      </c>
      <c r="E33" s="15" t="s">
        <v>39</v>
      </c>
    </row>
    <row r="34" spans="1:5" ht="12.75">
      <c r="A34" s="12" t="s">
        <v>61</v>
      </c>
      <c r="B34" s="4" t="s">
        <v>87</v>
      </c>
      <c r="C34" s="4" t="s">
        <v>88</v>
      </c>
      <c r="D34" s="4" t="s">
        <v>89</v>
      </c>
      <c r="E34" s="16" t="s">
        <v>90</v>
      </c>
    </row>
  </sheetData>
  <sheetProtection/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2" width="4.625" style="3" bestFit="1" customWidth="1"/>
    <col min="13" max="13" width="5.625" style="3" bestFit="1" customWidth="1"/>
    <col min="14" max="14" width="4.875" style="3" bestFit="1" customWidth="1"/>
    <col min="15" max="16" width="5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9.00390625" style="4" bestFit="1" customWidth="1"/>
    <col min="22" max="16384" width="9.125" style="3" customWidth="1"/>
  </cols>
  <sheetData>
    <row r="1" spans="1:21" s="2" customFormat="1" ht="28.5" customHeight="1">
      <c r="A1" s="38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11</v>
      </c>
      <c r="H3" s="33"/>
      <c r="I3" s="33"/>
      <c r="J3" s="33"/>
      <c r="K3" s="33" t="s">
        <v>12</v>
      </c>
      <c r="L3" s="33"/>
      <c r="M3" s="33"/>
      <c r="N3" s="33"/>
      <c r="O3" s="33" t="s">
        <v>13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4"/>
      <c r="T4" s="34"/>
      <c r="U4" s="36"/>
    </row>
    <row r="5" spans="1:20" ht="15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6" t="s">
        <v>16</v>
      </c>
      <c r="B6" s="6" t="s">
        <v>17</v>
      </c>
      <c r="C6" s="6" t="s">
        <v>18</v>
      </c>
      <c r="D6" s="6" t="str">
        <f>"0,9701"</f>
        <v>0,9701</v>
      </c>
      <c r="E6" s="6" t="s">
        <v>19</v>
      </c>
      <c r="F6" s="6" t="s">
        <v>20</v>
      </c>
      <c r="G6" s="7" t="s">
        <v>21</v>
      </c>
      <c r="H6" s="8" t="s">
        <v>21</v>
      </c>
      <c r="I6" s="8" t="s">
        <v>22</v>
      </c>
      <c r="J6" s="7"/>
      <c r="K6" s="7" t="s">
        <v>23</v>
      </c>
      <c r="L6" s="8" t="s">
        <v>23</v>
      </c>
      <c r="M6" s="7" t="s">
        <v>24</v>
      </c>
      <c r="N6" s="7"/>
      <c r="O6" s="8" t="s">
        <v>25</v>
      </c>
      <c r="P6" s="7" t="s">
        <v>26</v>
      </c>
      <c r="Q6" s="7"/>
      <c r="R6" s="7"/>
      <c r="S6" s="6" t="str">
        <f>"460,5"</f>
        <v>460,5</v>
      </c>
      <c r="T6" s="8" t="str">
        <f>"446,7310"</f>
        <v>446,7310</v>
      </c>
      <c r="U6" s="6" t="s">
        <v>27</v>
      </c>
    </row>
    <row r="8" spans="5:6" ht="15">
      <c r="E8" s="9" t="s">
        <v>28</v>
      </c>
      <c r="F8" s="32" t="s">
        <v>419</v>
      </c>
    </row>
    <row r="9" spans="5:6" ht="15">
      <c r="E9" s="9" t="s">
        <v>29</v>
      </c>
      <c r="F9" s="32" t="s">
        <v>420</v>
      </c>
    </row>
    <row r="10" spans="5:6" ht="15">
      <c r="E10" s="9" t="s">
        <v>30</v>
      </c>
      <c r="F10" s="32" t="s">
        <v>418</v>
      </c>
    </row>
    <row r="11" spans="5:6" ht="15">
      <c r="E11" s="9" t="s">
        <v>31</v>
      </c>
      <c r="F11" s="32" t="s">
        <v>421</v>
      </c>
    </row>
    <row r="12" spans="5:6" ht="15">
      <c r="E12" s="9" t="s">
        <v>31</v>
      </c>
      <c r="F12" s="32" t="s">
        <v>422</v>
      </c>
    </row>
    <row r="13" ht="15">
      <c r="E13" s="9"/>
    </row>
    <row r="14" ht="15">
      <c r="E14" s="9"/>
    </row>
    <row r="16" spans="1:2" ht="18">
      <c r="A16" s="10" t="s">
        <v>32</v>
      </c>
      <c r="B16" s="10"/>
    </row>
    <row r="17" spans="1:2" ht="15">
      <c r="A17" s="11" t="s">
        <v>33</v>
      </c>
      <c r="B17" s="11"/>
    </row>
    <row r="18" spans="1:2" ht="14.25">
      <c r="A18" s="13"/>
      <c r="B18" s="14" t="s">
        <v>34</v>
      </c>
    </row>
    <row r="19" spans="1:5" ht="15">
      <c r="A19" s="15" t="s">
        <v>35</v>
      </c>
      <c r="B19" s="15" t="s">
        <v>36</v>
      </c>
      <c r="C19" s="15" t="s">
        <v>37</v>
      </c>
      <c r="D19" s="15" t="s">
        <v>38</v>
      </c>
      <c r="E19" s="15" t="s">
        <v>39</v>
      </c>
    </row>
    <row r="20" spans="1:5" ht="12.75">
      <c r="A20" s="12" t="s">
        <v>15</v>
      </c>
      <c r="B20" s="4" t="s">
        <v>34</v>
      </c>
      <c r="C20" s="4" t="s">
        <v>40</v>
      </c>
      <c r="D20" s="4" t="s">
        <v>41</v>
      </c>
      <c r="E20" s="16" t="s">
        <v>42</v>
      </c>
    </row>
  </sheetData>
  <sheetProtection/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9.00390625" style="4" bestFit="1" customWidth="1"/>
    <col min="7" max="7" width="6.875" style="3" customWidth="1"/>
    <col min="8" max="8" width="10.625" style="27" customWidth="1"/>
    <col min="9" max="9" width="7.875" style="4" bestFit="1" customWidth="1"/>
    <col min="10" max="10" width="8.625" style="3" bestFit="1" customWidth="1"/>
    <col min="11" max="11" width="16.625" style="4" bestFit="1" customWidth="1"/>
    <col min="12" max="16384" width="9.125" style="3" customWidth="1"/>
  </cols>
  <sheetData>
    <row r="1" spans="1:11" s="2" customFormat="1" ht="28.5" customHeight="1">
      <c r="A1" s="38" t="s">
        <v>354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3" t="s">
        <v>355</v>
      </c>
      <c r="E3" s="33" t="s">
        <v>4</v>
      </c>
      <c r="F3" s="33" t="s">
        <v>8</v>
      </c>
      <c r="G3" s="33" t="s">
        <v>356</v>
      </c>
      <c r="H3" s="33"/>
      <c r="I3" s="33" t="s">
        <v>297</v>
      </c>
      <c r="J3" s="33" t="s">
        <v>3</v>
      </c>
      <c r="K3" s="35" t="s">
        <v>2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295</v>
      </c>
      <c r="H4" s="26" t="s">
        <v>296</v>
      </c>
      <c r="I4" s="34"/>
      <c r="J4" s="34"/>
      <c r="K4" s="36"/>
    </row>
    <row r="5" spans="1:10" ht="15">
      <c r="A5" s="37" t="s">
        <v>357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6" t="s">
        <v>359</v>
      </c>
      <c r="B6" s="6" t="s">
        <v>360</v>
      </c>
      <c r="C6" s="6" t="s">
        <v>361</v>
      </c>
      <c r="D6" s="6" t="str">
        <f>"1,0000"</f>
        <v>1,0000</v>
      </c>
      <c r="E6" s="6" t="s">
        <v>65</v>
      </c>
      <c r="F6" s="6" t="s">
        <v>132</v>
      </c>
      <c r="G6" s="8" t="s">
        <v>284</v>
      </c>
      <c r="H6" s="30" t="s">
        <v>362</v>
      </c>
      <c r="I6" s="6" t="str">
        <f>"14850,0"</f>
        <v>14850,0</v>
      </c>
      <c r="J6" s="8" t="str">
        <f>"154,0456"</f>
        <v>154,0456</v>
      </c>
      <c r="K6" s="6" t="s">
        <v>363</v>
      </c>
    </row>
    <row r="8" spans="5:6" ht="15">
      <c r="E8" s="9" t="s">
        <v>28</v>
      </c>
      <c r="F8" s="32" t="s">
        <v>419</v>
      </c>
    </row>
    <row r="9" spans="5:6" ht="15">
      <c r="E9" s="9" t="s">
        <v>29</v>
      </c>
      <c r="F9" s="32" t="s">
        <v>420</v>
      </c>
    </row>
    <row r="10" spans="5:6" ht="15">
      <c r="E10" s="9" t="s">
        <v>30</v>
      </c>
      <c r="F10" s="32" t="s">
        <v>418</v>
      </c>
    </row>
    <row r="11" spans="5:6" ht="15">
      <c r="E11" s="9" t="s">
        <v>31</v>
      </c>
      <c r="F11" s="32" t="s">
        <v>421</v>
      </c>
    </row>
    <row r="12" spans="5:6" ht="15">
      <c r="E12" s="9" t="s">
        <v>31</v>
      </c>
      <c r="F12" s="32" t="s">
        <v>422</v>
      </c>
    </row>
    <row r="13" ht="15">
      <c r="E13" s="9"/>
    </row>
    <row r="14" ht="15">
      <c r="E14" s="9"/>
    </row>
    <row r="16" spans="1:2" ht="18">
      <c r="A16" s="10" t="s">
        <v>32</v>
      </c>
      <c r="B16" s="10"/>
    </row>
    <row r="17" spans="1:2" ht="15">
      <c r="A17" s="11" t="s">
        <v>77</v>
      </c>
      <c r="B17" s="11"/>
    </row>
    <row r="18" spans="1:2" ht="14.25">
      <c r="A18" s="13"/>
      <c r="B18" s="14" t="s">
        <v>86</v>
      </c>
    </row>
    <row r="19" spans="1:5" ht="15">
      <c r="A19" s="15" t="s">
        <v>35</v>
      </c>
      <c r="B19" s="15" t="s">
        <v>36</v>
      </c>
      <c r="C19" s="15" t="s">
        <v>37</v>
      </c>
      <c r="D19" s="15" t="s">
        <v>38</v>
      </c>
      <c r="E19" s="15" t="s">
        <v>364</v>
      </c>
    </row>
    <row r="20" spans="1:5" ht="12.75">
      <c r="A20" s="12" t="s">
        <v>358</v>
      </c>
      <c r="B20" s="4" t="s">
        <v>292</v>
      </c>
      <c r="C20" s="4" t="s">
        <v>365</v>
      </c>
      <c r="D20" s="4" t="s">
        <v>366</v>
      </c>
      <c r="E20" s="16" t="s">
        <v>367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00390625" style="4" bestFit="1" customWidth="1"/>
    <col min="6" max="6" width="24.00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8.125" style="3" customWidth="1"/>
    <col min="15" max="15" width="7.875" style="4" bestFit="1" customWidth="1"/>
    <col min="16" max="16" width="7.625" style="3" bestFit="1" customWidth="1"/>
    <col min="17" max="17" width="22.25390625" style="4" bestFit="1" customWidth="1"/>
    <col min="18" max="16384" width="9.125" style="3" customWidth="1"/>
  </cols>
  <sheetData>
    <row r="1" spans="1:17" s="2" customFormat="1" ht="28.5" customHeight="1">
      <c r="A1" s="38" t="s">
        <v>346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315</v>
      </c>
      <c r="H3" s="33"/>
      <c r="I3" s="33"/>
      <c r="J3" s="33"/>
      <c r="K3" s="33" t="s">
        <v>327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4"/>
      <c r="P4" s="34"/>
      <c r="Q4" s="36"/>
    </row>
    <row r="5" spans="1:16" ht="1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2.75">
      <c r="A6" s="6" t="s">
        <v>317</v>
      </c>
      <c r="B6" s="6" t="s">
        <v>318</v>
      </c>
      <c r="C6" s="6" t="s">
        <v>319</v>
      </c>
      <c r="D6" s="6" t="str">
        <f>"0,6203"</f>
        <v>0,6203</v>
      </c>
      <c r="E6" s="6" t="s">
        <v>320</v>
      </c>
      <c r="F6" s="6" t="s">
        <v>321</v>
      </c>
      <c r="G6" s="8" t="s">
        <v>322</v>
      </c>
      <c r="H6" s="8" t="s">
        <v>306</v>
      </c>
      <c r="I6" s="7" t="s">
        <v>323</v>
      </c>
      <c r="J6" s="7"/>
      <c r="K6" s="8" t="s">
        <v>284</v>
      </c>
      <c r="L6" s="8" t="s">
        <v>285</v>
      </c>
      <c r="M6" s="8" t="s">
        <v>334</v>
      </c>
      <c r="N6" s="7"/>
      <c r="O6" s="6" t="str">
        <f>"145,0"</f>
        <v>145,0</v>
      </c>
      <c r="P6" s="8" t="str">
        <f>"89,9435"</f>
        <v>89,9435</v>
      </c>
      <c r="Q6" s="6" t="s">
        <v>324</v>
      </c>
    </row>
    <row r="8" spans="1:16" ht="15">
      <c r="A8" s="47" t="s">
        <v>187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2.75">
      <c r="A9" s="6" t="s">
        <v>348</v>
      </c>
      <c r="B9" s="6" t="s">
        <v>349</v>
      </c>
      <c r="C9" s="6" t="s">
        <v>350</v>
      </c>
      <c r="D9" s="6" t="str">
        <f>"0,5334"</f>
        <v>0,5334</v>
      </c>
      <c r="E9" s="6" t="s">
        <v>106</v>
      </c>
      <c r="F9" s="6" t="s">
        <v>185</v>
      </c>
      <c r="G9" s="8" t="s">
        <v>283</v>
      </c>
      <c r="H9" s="8" t="s">
        <v>284</v>
      </c>
      <c r="I9" s="8" t="s">
        <v>334</v>
      </c>
      <c r="J9" s="7"/>
      <c r="K9" s="8" t="s">
        <v>283</v>
      </c>
      <c r="L9" s="8" t="s">
        <v>284</v>
      </c>
      <c r="M9" s="7" t="s">
        <v>285</v>
      </c>
      <c r="N9" s="7"/>
      <c r="O9" s="6" t="str">
        <f>"120,0"</f>
        <v>120,0</v>
      </c>
      <c r="P9" s="8" t="str">
        <f>"64,0080"</f>
        <v>64,0080</v>
      </c>
      <c r="Q9" s="6" t="s">
        <v>351</v>
      </c>
    </row>
    <row r="11" spans="5:6" ht="15">
      <c r="E11" s="9" t="s">
        <v>28</v>
      </c>
      <c r="F11" s="32" t="s">
        <v>419</v>
      </c>
    </row>
    <row r="12" spans="5:6" ht="15">
      <c r="E12" s="9" t="s">
        <v>29</v>
      </c>
      <c r="F12" s="32" t="s">
        <v>420</v>
      </c>
    </row>
    <row r="13" spans="5:6" ht="15">
      <c r="E13" s="9" t="s">
        <v>30</v>
      </c>
      <c r="F13" s="32" t="s">
        <v>418</v>
      </c>
    </row>
    <row r="14" spans="5:6" ht="15">
      <c r="E14" s="9" t="s">
        <v>31</v>
      </c>
      <c r="F14" s="32" t="s">
        <v>421</v>
      </c>
    </row>
    <row r="15" spans="5:6" ht="15">
      <c r="E15" s="9" t="s">
        <v>31</v>
      </c>
      <c r="F15" s="32" t="s">
        <v>422</v>
      </c>
    </row>
    <row r="16" ht="15">
      <c r="E16" s="9"/>
    </row>
    <row r="17" ht="15">
      <c r="E17" s="9"/>
    </row>
    <row r="19" spans="1:2" ht="18">
      <c r="A19" s="10" t="s">
        <v>32</v>
      </c>
      <c r="B19" s="10"/>
    </row>
    <row r="20" spans="1:2" ht="15">
      <c r="A20" s="11" t="s">
        <v>77</v>
      </c>
      <c r="B20" s="11"/>
    </row>
    <row r="21" spans="1:2" ht="14.25">
      <c r="A21" s="13"/>
      <c r="B21" s="14" t="s">
        <v>34</v>
      </c>
    </row>
    <row r="22" spans="1:5" ht="15">
      <c r="A22" s="15" t="s">
        <v>35</v>
      </c>
      <c r="B22" s="15" t="s">
        <v>36</v>
      </c>
      <c r="C22" s="15" t="s">
        <v>37</v>
      </c>
      <c r="D22" s="15" t="s">
        <v>38</v>
      </c>
      <c r="E22" s="15" t="s">
        <v>39</v>
      </c>
    </row>
    <row r="23" spans="1:5" ht="12.75">
      <c r="A23" s="12" t="s">
        <v>347</v>
      </c>
      <c r="B23" s="4" t="s">
        <v>34</v>
      </c>
      <c r="C23" s="4" t="s">
        <v>216</v>
      </c>
      <c r="D23" s="4" t="s">
        <v>55</v>
      </c>
      <c r="E23" s="16" t="s">
        <v>352</v>
      </c>
    </row>
    <row r="25" spans="1:2" ht="14.25">
      <c r="A25" s="13"/>
      <c r="B25" s="14" t="s">
        <v>86</v>
      </c>
    </row>
    <row r="26" spans="1:5" ht="15">
      <c r="A26" s="15" t="s">
        <v>35</v>
      </c>
      <c r="B26" s="15" t="s">
        <v>36</v>
      </c>
      <c r="C26" s="15" t="s">
        <v>37</v>
      </c>
      <c r="D26" s="15" t="s">
        <v>38</v>
      </c>
      <c r="E26" s="15" t="s">
        <v>39</v>
      </c>
    </row>
    <row r="27" spans="1:5" ht="12.75">
      <c r="A27" s="12" t="s">
        <v>316</v>
      </c>
      <c r="B27" s="4" t="s">
        <v>215</v>
      </c>
      <c r="C27" s="4" t="s">
        <v>83</v>
      </c>
      <c r="D27" s="4" t="s">
        <v>69</v>
      </c>
      <c r="E27" s="16" t="s">
        <v>353</v>
      </c>
    </row>
  </sheetData>
  <sheetProtection/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00390625" style="4" bestFit="1" customWidth="1"/>
    <col min="6" max="6" width="28.75390625" style="4" bestFit="1" customWidth="1"/>
    <col min="7" max="9" width="4.625" style="3" bestFit="1" customWidth="1"/>
    <col min="10" max="10" width="7.625" style="3" customWidth="1"/>
    <col min="11" max="11" width="12.375" style="4" customWidth="1"/>
    <col min="12" max="12" width="7.625" style="3" bestFit="1" customWidth="1"/>
    <col min="13" max="13" width="19.875" style="4" bestFit="1" customWidth="1"/>
    <col min="14" max="16384" width="9.125" style="3" customWidth="1"/>
  </cols>
  <sheetData>
    <row r="1" spans="1:13" s="2" customFormat="1" ht="28.5" customHeight="1">
      <c r="A1" s="38" t="s">
        <v>326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327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133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6" t="s">
        <v>329</v>
      </c>
      <c r="B6" s="6" t="s">
        <v>330</v>
      </c>
      <c r="C6" s="6" t="s">
        <v>331</v>
      </c>
      <c r="D6" s="6" t="str">
        <f>"0,6968"</f>
        <v>0,6968</v>
      </c>
      <c r="E6" s="6" t="s">
        <v>65</v>
      </c>
      <c r="F6" s="6" t="s">
        <v>321</v>
      </c>
      <c r="G6" s="8" t="s">
        <v>332</v>
      </c>
      <c r="H6" s="8" t="s">
        <v>108</v>
      </c>
      <c r="I6" s="8" t="s">
        <v>283</v>
      </c>
      <c r="J6" s="7"/>
      <c r="K6" s="6" t="str">
        <f>"50,0"</f>
        <v>50,0</v>
      </c>
      <c r="L6" s="8" t="str">
        <f>"35,4671"</f>
        <v>35,4671</v>
      </c>
      <c r="M6" s="6" t="s">
        <v>333</v>
      </c>
    </row>
    <row r="8" spans="1:12" ht="15">
      <c r="A8" s="47" t="s">
        <v>44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6" t="s">
        <v>317</v>
      </c>
      <c r="B9" s="6" t="s">
        <v>318</v>
      </c>
      <c r="C9" s="6" t="s">
        <v>319</v>
      </c>
      <c r="D9" s="6" t="str">
        <f>"0,6203"</f>
        <v>0,6203</v>
      </c>
      <c r="E9" s="6" t="s">
        <v>320</v>
      </c>
      <c r="F9" s="6" t="s">
        <v>321</v>
      </c>
      <c r="G9" s="8" t="s">
        <v>284</v>
      </c>
      <c r="H9" s="8" t="s">
        <v>285</v>
      </c>
      <c r="I9" s="8" t="s">
        <v>334</v>
      </c>
      <c r="J9" s="7"/>
      <c r="K9" s="6" t="str">
        <f>"65,0"</f>
        <v>65,0</v>
      </c>
      <c r="L9" s="8" t="str">
        <f>"40,3195"</f>
        <v>40,3195</v>
      </c>
      <c r="M9" s="6" t="s">
        <v>324</v>
      </c>
    </row>
    <row r="11" spans="1:12" ht="15">
      <c r="A11" s="47" t="s">
        <v>160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6" t="s">
        <v>336</v>
      </c>
      <c r="B12" s="6" t="s">
        <v>337</v>
      </c>
      <c r="C12" s="6" t="s">
        <v>338</v>
      </c>
      <c r="D12" s="6" t="str">
        <f>"0,5893"</f>
        <v>0,5893</v>
      </c>
      <c r="E12" s="6" t="s">
        <v>65</v>
      </c>
      <c r="F12" s="6" t="s">
        <v>339</v>
      </c>
      <c r="G12" s="8" t="s">
        <v>340</v>
      </c>
      <c r="H12" s="8" t="s">
        <v>341</v>
      </c>
      <c r="I12" s="7" t="s">
        <v>342</v>
      </c>
      <c r="J12" s="7"/>
      <c r="K12" s="6" t="str">
        <f>"67,5"</f>
        <v>67,5</v>
      </c>
      <c r="L12" s="8" t="str">
        <f>"39,7777"</f>
        <v>39,7777</v>
      </c>
      <c r="M12" s="6" t="s">
        <v>59</v>
      </c>
    </row>
    <row r="14" spans="5:6" ht="15">
      <c r="E14" s="9" t="s">
        <v>28</v>
      </c>
      <c r="F14" s="32" t="s">
        <v>419</v>
      </c>
    </row>
    <row r="15" spans="5:6" ht="15">
      <c r="E15" s="9" t="s">
        <v>29</v>
      </c>
      <c r="F15" s="32" t="s">
        <v>420</v>
      </c>
    </row>
    <row r="16" spans="5:6" ht="15">
      <c r="E16" s="9" t="s">
        <v>30</v>
      </c>
      <c r="F16" s="32" t="s">
        <v>418</v>
      </c>
    </row>
    <row r="17" spans="5:6" ht="15">
      <c r="E17" s="9" t="s">
        <v>31</v>
      </c>
      <c r="F17" s="32" t="s">
        <v>421</v>
      </c>
    </row>
    <row r="18" spans="5:6" ht="15">
      <c r="E18" s="9" t="s">
        <v>31</v>
      </c>
      <c r="F18" s="32" t="s">
        <v>422</v>
      </c>
    </row>
    <row r="19" ht="15">
      <c r="E19" s="9"/>
    </row>
    <row r="20" ht="15">
      <c r="E20" s="9"/>
    </row>
    <row r="22" spans="1:2" ht="18">
      <c r="A22" s="10" t="s">
        <v>32</v>
      </c>
      <c r="B22" s="10"/>
    </row>
    <row r="23" spans="1:2" ht="15">
      <c r="A23" s="11" t="s">
        <v>77</v>
      </c>
      <c r="B23" s="11"/>
    </row>
    <row r="24" spans="1:2" ht="14.25">
      <c r="A24" s="13"/>
      <c r="B24" s="14" t="s">
        <v>34</v>
      </c>
    </row>
    <row r="25" spans="1:5" ht="15">
      <c r="A25" s="15" t="s">
        <v>35</v>
      </c>
      <c r="B25" s="15" t="s">
        <v>36</v>
      </c>
      <c r="C25" s="15" t="s">
        <v>37</v>
      </c>
      <c r="D25" s="15" t="s">
        <v>38</v>
      </c>
      <c r="E25" s="15" t="s">
        <v>39</v>
      </c>
    </row>
    <row r="26" spans="1:5" ht="12.75">
      <c r="A26" s="12" t="s">
        <v>335</v>
      </c>
      <c r="B26" s="4" t="s">
        <v>34</v>
      </c>
      <c r="C26" s="4" t="s">
        <v>207</v>
      </c>
      <c r="D26" s="4" t="s">
        <v>341</v>
      </c>
      <c r="E26" s="16" t="s">
        <v>343</v>
      </c>
    </row>
    <row r="28" spans="1:2" ht="14.25">
      <c r="A28" s="13"/>
      <c r="B28" s="14" t="s">
        <v>86</v>
      </c>
    </row>
    <row r="29" spans="1:5" ht="15">
      <c r="A29" s="15" t="s">
        <v>35</v>
      </c>
      <c r="B29" s="15" t="s">
        <v>36</v>
      </c>
      <c r="C29" s="15" t="s">
        <v>37</v>
      </c>
      <c r="D29" s="15" t="s">
        <v>38</v>
      </c>
      <c r="E29" s="15" t="s">
        <v>39</v>
      </c>
    </row>
    <row r="30" spans="1:5" ht="12.75">
      <c r="A30" s="12" t="s">
        <v>316</v>
      </c>
      <c r="B30" s="4" t="s">
        <v>215</v>
      </c>
      <c r="C30" s="4" t="s">
        <v>83</v>
      </c>
      <c r="D30" s="4" t="s">
        <v>334</v>
      </c>
      <c r="E30" s="16" t="s">
        <v>344</v>
      </c>
    </row>
    <row r="31" spans="1:5" ht="12.75">
      <c r="A31" s="12" t="s">
        <v>328</v>
      </c>
      <c r="B31" s="4" t="s">
        <v>215</v>
      </c>
      <c r="C31" s="4" t="s">
        <v>209</v>
      </c>
      <c r="D31" s="4" t="s">
        <v>283</v>
      </c>
      <c r="E31" s="16" t="s">
        <v>345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00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1" width="11.375" style="4" customWidth="1"/>
    <col min="12" max="12" width="7.625" style="3" bestFit="1" customWidth="1"/>
    <col min="13" max="13" width="19.875" style="4" bestFit="1" customWidth="1"/>
    <col min="14" max="16384" width="9.125" style="3" customWidth="1"/>
  </cols>
  <sheetData>
    <row r="1" spans="1:13" s="2" customFormat="1" ht="28.5" customHeight="1">
      <c r="A1" s="38" t="s">
        <v>314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315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6" t="s">
        <v>317</v>
      </c>
      <c r="B6" s="6" t="s">
        <v>318</v>
      </c>
      <c r="C6" s="6" t="s">
        <v>319</v>
      </c>
      <c r="D6" s="6" t="str">
        <f>"0,6203"</f>
        <v>0,6203</v>
      </c>
      <c r="E6" s="6" t="s">
        <v>320</v>
      </c>
      <c r="F6" s="6" t="s">
        <v>321</v>
      </c>
      <c r="G6" s="8" t="s">
        <v>322</v>
      </c>
      <c r="H6" s="8" t="s">
        <v>306</v>
      </c>
      <c r="I6" s="7" t="s">
        <v>323</v>
      </c>
      <c r="J6" s="7"/>
      <c r="K6" s="6" t="str">
        <f>"80,0"</f>
        <v>80,0</v>
      </c>
      <c r="L6" s="8" t="str">
        <f>"49,6240"</f>
        <v>49,6240</v>
      </c>
      <c r="M6" s="6" t="s">
        <v>324</v>
      </c>
    </row>
    <row r="8" spans="5:6" ht="15">
      <c r="E8" s="9" t="s">
        <v>28</v>
      </c>
      <c r="F8" s="32" t="s">
        <v>419</v>
      </c>
    </row>
    <row r="9" spans="5:6" ht="15">
      <c r="E9" s="9" t="s">
        <v>29</v>
      </c>
      <c r="F9" s="32" t="s">
        <v>420</v>
      </c>
    </row>
    <row r="10" spans="5:6" ht="15">
      <c r="E10" s="9" t="s">
        <v>30</v>
      </c>
      <c r="F10" s="32" t="s">
        <v>418</v>
      </c>
    </row>
    <row r="11" spans="5:6" ht="15">
      <c r="E11" s="9" t="s">
        <v>31</v>
      </c>
      <c r="F11" s="32" t="s">
        <v>421</v>
      </c>
    </row>
    <row r="12" spans="5:6" ht="15">
      <c r="E12" s="9" t="s">
        <v>31</v>
      </c>
      <c r="F12" s="32" t="s">
        <v>422</v>
      </c>
    </row>
    <row r="13" ht="15">
      <c r="E13" s="9"/>
    </row>
    <row r="14" ht="15">
      <c r="E14" s="9"/>
    </row>
    <row r="16" spans="1:2" ht="18">
      <c r="A16" s="10" t="s">
        <v>32</v>
      </c>
      <c r="B16" s="10"/>
    </row>
    <row r="17" spans="1:2" ht="15">
      <c r="A17" s="11" t="s">
        <v>77</v>
      </c>
      <c r="B17" s="11"/>
    </row>
    <row r="18" spans="1:2" ht="14.25">
      <c r="A18" s="13"/>
      <c r="B18" s="14" t="s">
        <v>86</v>
      </c>
    </row>
    <row r="19" spans="1:5" ht="15">
      <c r="A19" s="15" t="s">
        <v>35</v>
      </c>
      <c r="B19" s="15" t="s">
        <v>36</v>
      </c>
      <c r="C19" s="15" t="s">
        <v>37</v>
      </c>
      <c r="D19" s="15" t="s">
        <v>38</v>
      </c>
      <c r="E19" s="15" t="s">
        <v>39</v>
      </c>
    </row>
    <row r="20" spans="1:5" ht="12.75">
      <c r="A20" s="12" t="s">
        <v>316</v>
      </c>
      <c r="B20" s="4" t="s">
        <v>215</v>
      </c>
      <c r="C20" s="4" t="s">
        <v>83</v>
      </c>
      <c r="D20" s="4" t="s">
        <v>306</v>
      </c>
      <c r="E20" s="16" t="s">
        <v>325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9.00390625" style="4" bestFit="1" customWidth="1"/>
    <col min="7" max="7" width="5.625" style="3" customWidth="1"/>
    <col min="8" max="8" width="10.625" style="27" customWidth="1"/>
    <col min="9" max="9" width="8.875" style="4" customWidth="1"/>
    <col min="10" max="10" width="9.625" style="3" bestFit="1" customWidth="1"/>
    <col min="11" max="11" width="19.25390625" style="4" bestFit="1" customWidth="1"/>
    <col min="12" max="16384" width="9.125" style="3" customWidth="1"/>
  </cols>
  <sheetData>
    <row r="1" spans="1:11" s="2" customFormat="1" ht="28.5" customHeight="1">
      <c r="A1" s="38" t="s">
        <v>298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3" t="s">
        <v>299</v>
      </c>
      <c r="E3" s="33" t="s">
        <v>4</v>
      </c>
      <c r="F3" s="33" t="s">
        <v>8</v>
      </c>
      <c r="G3" s="33" t="s">
        <v>300</v>
      </c>
      <c r="H3" s="33"/>
      <c r="I3" s="33" t="s">
        <v>297</v>
      </c>
      <c r="J3" s="33" t="s">
        <v>3</v>
      </c>
      <c r="K3" s="35" t="s">
        <v>2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295</v>
      </c>
      <c r="H4" s="26" t="s">
        <v>296</v>
      </c>
      <c r="I4" s="34"/>
      <c r="J4" s="34"/>
      <c r="K4" s="36"/>
    </row>
    <row r="5" spans="1:10" ht="1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17" t="s">
        <v>302</v>
      </c>
      <c r="B6" s="17" t="s">
        <v>303</v>
      </c>
      <c r="C6" s="17" t="s">
        <v>304</v>
      </c>
      <c r="D6" s="17" t="str">
        <f>"0,7899"</f>
        <v>0,7899</v>
      </c>
      <c r="E6" s="17" t="s">
        <v>65</v>
      </c>
      <c r="F6" s="17" t="s">
        <v>305</v>
      </c>
      <c r="G6" s="19" t="s">
        <v>306</v>
      </c>
      <c r="H6" s="28" t="s">
        <v>307</v>
      </c>
      <c r="I6" s="17" t="str">
        <f>"2400,0"</f>
        <v>2400,0</v>
      </c>
      <c r="J6" s="19" t="str">
        <f>"1895,7600"</f>
        <v>1895,7600</v>
      </c>
      <c r="K6" s="17" t="s">
        <v>59</v>
      </c>
    </row>
    <row r="7" spans="1:11" ht="12.75">
      <c r="A7" s="23" t="s">
        <v>227</v>
      </c>
      <c r="B7" s="23" t="s">
        <v>228</v>
      </c>
      <c r="C7" s="23" t="s">
        <v>229</v>
      </c>
      <c r="D7" s="23" t="str">
        <f>"0,7894"</f>
        <v>0,7894</v>
      </c>
      <c r="E7" s="23" t="s">
        <v>65</v>
      </c>
      <c r="F7" s="23" t="s">
        <v>132</v>
      </c>
      <c r="G7" s="25" t="s">
        <v>306</v>
      </c>
      <c r="H7" s="29" t="s">
        <v>308</v>
      </c>
      <c r="I7" s="23" t="str">
        <f>"1520,0"</f>
        <v>1520,0</v>
      </c>
      <c r="J7" s="25" t="str">
        <f>"1199,8880"</f>
        <v>1199,8880</v>
      </c>
      <c r="K7" s="23" t="s">
        <v>230</v>
      </c>
    </row>
    <row r="9" spans="5:6" ht="15">
      <c r="E9" s="9" t="s">
        <v>28</v>
      </c>
      <c r="F9" s="32" t="s">
        <v>419</v>
      </c>
    </row>
    <row r="10" spans="5:6" ht="15">
      <c r="E10" s="9" t="s">
        <v>29</v>
      </c>
      <c r="F10" s="32" t="s">
        <v>420</v>
      </c>
    </row>
    <row r="11" spans="5:6" ht="15">
      <c r="E11" s="9" t="s">
        <v>30</v>
      </c>
      <c r="F11" s="32" t="s">
        <v>418</v>
      </c>
    </row>
    <row r="12" spans="5:6" ht="15">
      <c r="E12" s="9" t="s">
        <v>31</v>
      </c>
      <c r="F12" s="32" t="s">
        <v>421</v>
      </c>
    </row>
    <row r="13" spans="5:6" ht="15">
      <c r="E13" s="9" t="s">
        <v>31</v>
      </c>
      <c r="F13" s="32" t="s">
        <v>422</v>
      </c>
    </row>
    <row r="14" ht="15">
      <c r="E14" s="9"/>
    </row>
    <row r="15" ht="15">
      <c r="E15" s="9"/>
    </row>
    <row r="17" spans="1:2" ht="18">
      <c r="A17" s="10" t="s">
        <v>32</v>
      </c>
      <c r="B17" s="10"/>
    </row>
    <row r="18" spans="1:2" ht="15">
      <c r="A18" s="11" t="s">
        <v>77</v>
      </c>
      <c r="B18" s="11"/>
    </row>
    <row r="19" spans="1:2" ht="14.25">
      <c r="A19" s="13"/>
      <c r="B19" s="14" t="s">
        <v>34</v>
      </c>
    </row>
    <row r="20" spans="1:5" ht="15">
      <c r="A20" s="15" t="s">
        <v>35</v>
      </c>
      <c r="B20" s="15" t="s">
        <v>36</v>
      </c>
      <c r="C20" s="15" t="s">
        <v>37</v>
      </c>
      <c r="D20" s="15" t="s">
        <v>38</v>
      </c>
      <c r="E20" s="15" t="s">
        <v>309</v>
      </c>
    </row>
    <row r="21" spans="1:5" ht="12.75">
      <c r="A21" s="12" t="s">
        <v>301</v>
      </c>
      <c r="B21" s="4" t="s">
        <v>34</v>
      </c>
      <c r="C21" s="4" t="s">
        <v>83</v>
      </c>
      <c r="D21" s="4" t="s">
        <v>310</v>
      </c>
      <c r="E21" s="16" t="s">
        <v>311</v>
      </c>
    </row>
    <row r="22" spans="1:5" ht="12.75">
      <c r="A22" s="12" t="s">
        <v>226</v>
      </c>
      <c r="B22" s="4" t="s">
        <v>34</v>
      </c>
      <c r="C22" s="4" t="s">
        <v>83</v>
      </c>
      <c r="D22" s="4" t="s">
        <v>312</v>
      </c>
      <c r="E22" s="16" t="s">
        <v>313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7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23.625" style="4" bestFit="1" customWidth="1"/>
    <col min="18" max="16384" width="9.125" style="3" customWidth="1"/>
  </cols>
  <sheetData>
    <row r="1" spans="1:17" s="2" customFormat="1" ht="28.5" customHeight="1">
      <c r="A1" s="38" t="s">
        <v>278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12</v>
      </c>
      <c r="H3" s="33"/>
      <c r="I3" s="33"/>
      <c r="J3" s="33"/>
      <c r="K3" s="33" t="s">
        <v>13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4"/>
      <c r="P4" s="34"/>
      <c r="Q4" s="36"/>
    </row>
    <row r="5" spans="1:16" ht="15">
      <c r="A5" s="37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2.75">
      <c r="A6" s="6" t="s">
        <v>280</v>
      </c>
      <c r="B6" s="6" t="s">
        <v>281</v>
      </c>
      <c r="C6" s="6" t="s">
        <v>282</v>
      </c>
      <c r="D6" s="6" t="str">
        <f>"0,8192"</f>
        <v>0,8192</v>
      </c>
      <c r="E6" s="6" t="s">
        <v>49</v>
      </c>
      <c r="F6" s="6" t="s">
        <v>50</v>
      </c>
      <c r="G6" s="8" t="s">
        <v>283</v>
      </c>
      <c r="H6" s="8" t="s">
        <v>284</v>
      </c>
      <c r="I6" s="7" t="s">
        <v>285</v>
      </c>
      <c r="J6" s="7"/>
      <c r="K6" s="8" t="s">
        <v>121</v>
      </c>
      <c r="L6" s="8" t="s">
        <v>55</v>
      </c>
      <c r="M6" s="7" t="s">
        <v>56</v>
      </c>
      <c r="N6" s="7"/>
      <c r="O6" s="6" t="str">
        <f>"175,0"</f>
        <v>175,0</v>
      </c>
      <c r="P6" s="8" t="str">
        <f>"161,9968"</f>
        <v>161,9968</v>
      </c>
      <c r="Q6" s="6" t="s">
        <v>122</v>
      </c>
    </row>
    <row r="8" spans="1:16" ht="1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2.75">
      <c r="A9" s="6" t="s">
        <v>287</v>
      </c>
      <c r="B9" s="6" t="s">
        <v>288</v>
      </c>
      <c r="C9" s="6" t="s">
        <v>289</v>
      </c>
      <c r="D9" s="6" t="str">
        <f>"0,5490"</f>
        <v>0,5490</v>
      </c>
      <c r="E9" s="6" t="s">
        <v>49</v>
      </c>
      <c r="F9" s="6" t="s">
        <v>50</v>
      </c>
      <c r="G9" s="8" t="s">
        <v>169</v>
      </c>
      <c r="H9" s="8" t="s">
        <v>69</v>
      </c>
      <c r="I9" s="7" t="s">
        <v>67</v>
      </c>
      <c r="J9" s="7"/>
      <c r="K9" s="8" t="s">
        <v>76</v>
      </c>
      <c r="L9" s="8" t="s">
        <v>53</v>
      </c>
      <c r="M9" s="7"/>
      <c r="N9" s="7"/>
      <c r="O9" s="6" t="str">
        <f>"375,0"</f>
        <v>375,0</v>
      </c>
      <c r="P9" s="8" t="str">
        <f>"247,8735"</f>
        <v>247,8735</v>
      </c>
      <c r="Q9" s="6" t="s">
        <v>59</v>
      </c>
    </row>
    <row r="11" spans="5:6" ht="15">
      <c r="E11" s="9" t="s">
        <v>28</v>
      </c>
      <c r="F11" s="32" t="s">
        <v>419</v>
      </c>
    </row>
    <row r="12" spans="5:6" ht="15">
      <c r="E12" s="9" t="s">
        <v>29</v>
      </c>
      <c r="F12" s="32" t="s">
        <v>420</v>
      </c>
    </row>
    <row r="13" spans="5:6" ht="15">
      <c r="E13" s="9" t="s">
        <v>30</v>
      </c>
      <c r="F13" s="32" t="s">
        <v>418</v>
      </c>
    </row>
    <row r="14" spans="5:6" ht="15">
      <c r="E14" s="9" t="s">
        <v>31</v>
      </c>
      <c r="F14" s="32" t="s">
        <v>421</v>
      </c>
    </row>
    <row r="15" spans="5:6" ht="15">
      <c r="E15" s="9" t="s">
        <v>31</v>
      </c>
      <c r="F15" s="32" t="s">
        <v>422</v>
      </c>
    </row>
    <row r="16" ht="15">
      <c r="E16" s="9"/>
    </row>
    <row r="17" ht="15">
      <c r="E17" s="9"/>
    </row>
    <row r="19" spans="1:2" ht="18">
      <c r="A19" s="10" t="s">
        <v>32</v>
      </c>
      <c r="B19" s="10"/>
    </row>
    <row r="20" spans="1:2" ht="15">
      <c r="A20" s="11" t="s">
        <v>33</v>
      </c>
      <c r="B20" s="11"/>
    </row>
    <row r="21" spans="1:2" ht="14.25">
      <c r="A21" s="13"/>
      <c r="B21" s="14" t="s">
        <v>290</v>
      </c>
    </row>
    <row r="22" spans="1:5" ht="15">
      <c r="A22" s="15" t="s">
        <v>35</v>
      </c>
      <c r="B22" s="15" t="s">
        <v>36</v>
      </c>
      <c r="C22" s="15" t="s">
        <v>37</v>
      </c>
      <c r="D22" s="15" t="s">
        <v>38</v>
      </c>
      <c r="E22" s="15" t="s">
        <v>39</v>
      </c>
    </row>
    <row r="23" spans="1:5" ht="12.75">
      <c r="A23" s="12" t="s">
        <v>279</v>
      </c>
      <c r="B23" s="4" t="s">
        <v>195</v>
      </c>
      <c r="C23" s="4" t="s">
        <v>196</v>
      </c>
      <c r="D23" s="4" t="s">
        <v>266</v>
      </c>
      <c r="E23" s="16" t="s">
        <v>291</v>
      </c>
    </row>
    <row r="26" spans="1:2" ht="15">
      <c r="A26" s="11" t="s">
        <v>77</v>
      </c>
      <c r="B26" s="11"/>
    </row>
    <row r="27" spans="1:2" ht="14.25">
      <c r="A27" s="13"/>
      <c r="B27" s="14" t="s">
        <v>86</v>
      </c>
    </row>
    <row r="28" spans="1:5" ht="15">
      <c r="A28" s="15" t="s">
        <v>35</v>
      </c>
      <c r="B28" s="15" t="s">
        <v>36</v>
      </c>
      <c r="C28" s="15" t="s">
        <v>37</v>
      </c>
      <c r="D28" s="15" t="s">
        <v>38</v>
      </c>
      <c r="E28" s="15" t="s">
        <v>39</v>
      </c>
    </row>
    <row r="29" spans="1:5" ht="12.75">
      <c r="A29" s="12" t="s">
        <v>286</v>
      </c>
      <c r="B29" s="4" t="s">
        <v>292</v>
      </c>
      <c r="C29" s="4" t="s">
        <v>80</v>
      </c>
      <c r="D29" s="4" t="s">
        <v>293</v>
      </c>
      <c r="E29" s="16" t="s">
        <v>294</v>
      </c>
    </row>
  </sheetData>
  <sheetProtection/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L3" sqref="L3:L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75390625" style="4" bestFit="1" customWidth="1"/>
    <col min="7" max="9" width="5.625" style="3" bestFit="1" customWidth="1"/>
    <col min="10" max="10" width="5.625" style="3" customWidth="1"/>
    <col min="11" max="11" width="12.00390625" style="4" customWidth="1"/>
    <col min="12" max="12" width="8.625" style="3" bestFit="1" customWidth="1"/>
    <col min="13" max="13" width="23.625" style="4" bestFit="1" customWidth="1"/>
    <col min="14" max="16384" width="9.125" style="3" customWidth="1"/>
  </cols>
  <sheetData>
    <row r="1" spans="1:13" s="2" customFormat="1" ht="28.5" customHeight="1">
      <c r="A1" s="38" t="s">
        <v>251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13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252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6" t="s">
        <v>254</v>
      </c>
      <c r="B6" s="6" t="s">
        <v>255</v>
      </c>
      <c r="C6" s="6" t="s">
        <v>256</v>
      </c>
      <c r="D6" s="6" t="str">
        <f>"0,8765"</f>
        <v>0,8765</v>
      </c>
      <c r="E6" s="6" t="s">
        <v>49</v>
      </c>
      <c r="F6" s="6" t="s">
        <v>50</v>
      </c>
      <c r="G6" s="8" t="s">
        <v>169</v>
      </c>
      <c r="H6" s="8" t="s">
        <v>69</v>
      </c>
      <c r="I6" s="8" t="s">
        <v>67</v>
      </c>
      <c r="J6" s="7"/>
      <c r="K6" s="6" t="str">
        <f>"150,0"</f>
        <v>150,0</v>
      </c>
      <c r="L6" s="8" t="str">
        <f>"141,9930"</f>
        <v>141,9930</v>
      </c>
      <c r="M6" s="6" t="s">
        <v>122</v>
      </c>
    </row>
    <row r="8" spans="1:12" ht="15">
      <c r="A8" s="47" t="s">
        <v>257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6" t="s">
        <v>259</v>
      </c>
      <c r="B9" s="6" t="s">
        <v>260</v>
      </c>
      <c r="C9" s="6" t="s">
        <v>261</v>
      </c>
      <c r="D9" s="6" t="str">
        <f>"0,8453"</f>
        <v>0,8453</v>
      </c>
      <c r="E9" s="6" t="s">
        <v>49</v>
      </c>
      <c r="F9" s="6" t="s">
        <v>50</v>
      </c>
      <c r="G9" s="7" t="s">
        <v>170</v>
      </c>
      <c r="H9" s="8" t="s">
        <v>170</v>
      </c>
      <c r="I9" s="8" t="s">
        <v>68</v>
      </c>
      <c r="J9" s="7"/>
      <c r="K9" s="6" t="str">
        <f>"155,0"</f>
        <v>155,0</v>
      </c>
      <c r="L9" s="8" t="str">
        <f>"136,2624"</f>
        <v>136,2624</v>
      </c>
      <c r="M9" s="6" t="s">
        <v>122</v>
      </c>
    </row>
    <row r="11" spans="1:12" ht="15">
      <c r="A11" s="47" t="s">
        <v>133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6" t="s">
        <v>145</v>
      </c>
      <c r="B12" s="6" t="s">
        <v>146</v>
      </c>
      <c r="C12" s="6" t="s">
        <v>147</v>
      </c>
      <c r="D12" s="6" t="str">
        <f>"0,6645"</f>
        <v>0,6645</v>
      </c>
      <c r="E12" s="6" t="s">
        <v>65</v>
      </c>
      <c r="F12" s="6" t="s">
        <v>66</v>
      </c>
      <c r="G12" s="8" t="s">
        <v>180</v>
      </c>
      <c r="H12" s="8" t="s">
        <v>193</v>
      </c>
      <c r="I12" s="8" t="s">
        <v>21</v>
      </c>
      <c r="J12" s="7"/>
      <c r="K12" s="6" t="str">
        <f>"190,0"</f>
        <v>190,0</v>
      </c>
      <c r="L12" s="8" t="str">
        <f>"263,3679"</f>
        <v>263,3679</v>
      </c>
      <c r="M12" s="6" t="s">
        <v>59</v>
      </c>
    </row>
    <row r="14" spans="1:12" ht="15">
      <c r="A14" s="47" t="s">
        <v>44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12.75">
      <c r="A15" s="6" t="s">
        <v>263</v>
      </c>
      <c r="B15" s="6" t="s">
        <v>264</v>
      </c>
      <c r="C15" s="6" t="s">
        <v>265</v>
      </c>
      <c r="D15" s="6" t="str">
        <f>"0,6241"</f>
        <v>0,6241</v>
      </c>
      <c r="E15" s="6" t="s">
        <v>49</v>
      </c>
      <c r="F15" s="6" t="s">
        <v>50</v>
      </c>
      <c r="G15" s="8" t="s">
        <v>68</v>
      </c>
      <c r="H15" s="8" t="s">
        <v>25</v>
      </c>
      <c r="I15" s="7" t="s">
        <v>266</v>
      </c>
      <c r="J15" s="7"/>
      <c r="K15" s="6" t="str">
        <f>"165,0"</f>
        <v>165,0</v>
      </c>
      <c r="L15" s="8" t="str">
        <f>"106,0658"</f>
        <v>106,0658</v>
      </c>
      <c r="M15" s="6" t="s">
        <v>122</v>
      </c>
    </row>
    <row r="17" spans="1:12" ht="15">
      <c r="A17" s="47" t="s">
        <v>70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3" ht="12.75">
      <c r="A18" s="6" t="s">
        <v>268</v>
      </c>
      <c r="B18" s="6" t="s">
        <v>269</v>
      </c>
      <c r="C18" s="6" t="s">
        <v>270</v>
      </c>
      <c r="D18" s="6" t="str">
        <f>"0,5467"</f>
        <v>0,5467</v>
      </c>
      <c r="E18" s="6" t="s">
        <v>49</v>
      </c>
      <c r="F18" s="6" t="s">
        <v>50</v>
      </c>
      <c r="G18" s="8" t="s">
        <v>57</v>
      </c>
      <c r="H18" s="7" t="s">
        <v>52</v>
      </c>
      <c r="I18" s="7" t="s">
        <v>52</v>
      </c>
      <c r="J18" s="7"/>
      <c r="K18" s="6" t="str">
        <f>"200,0"</f>
        <v>200,0</v>
      </c>
      <c r="L18" s="8" t="str">
        <f>"114,5883"</f>
        <v>114,5883</v>
      </c>
      <c r="M18" s="6" t="s">
        <v>153</v>
      </c>
    </row>
    <row r="20" spans="5:6" ht="15">
      <c r="E20" s="9" t="s">
        <v>28</v>
      </c>
      <c r="F20" s="32" t="s">
        <v>419</v>
      </c>
    </row>
    <row r="21" spans="5:6" ht="15">
      <c r="E21" s="9" t="s">
        <v>29</v>
      </c>
      <c r="F21" s="32" t="s">
        <v>420</v>
      </c>
    </row>
    <row r="22" spans="5:6" ht="15">
      <c r="E22" s="9" t="s">
        <v>30</v>
      </c>
      <c r="F22" s="32" t="s">
        <v>418</v>
      </c>
    </row>
    <row r="23" spans="5:6" ht="15">
      <c r="E23" s="9" t="s">
        <v>31</v>
      </c>
      <c r="F23" s="32" t="s">
        <v>421</v>
      </c>
    </row>
    <row r="24" spans="5:6" ht="15">
      <c r="E24" s="9" t="s">
        <v>31</v>
      </c>
      <c r="F24" s="32" t="s">
        <v>422</v>
      </c>
    </row>
    <row r="25" ht="15">
      <c r="E25" s="9"/>
    </row>
    <row r="26" ht="15">
      <c r="E26" s="9"/>
    </row>
    <row r="28" spans="1:2" ht="18">
      <c r="A28" s="10" t="s">
        <v>32</v>
      </c>
      <c r="B28" s="10"/>
    </row>
    <row r="29" spans="1:2" ht="15">
      <c r="A29" s="11" t="s">
        <v>77</v>
      </c>
      <c r="B29" s="11"/>
    </row>
    <row r="30" spans="1:2" ht="14.25">
      <c r="A30" s="13"/>
      <c r="B30" s="14" t="s">
        <v>78</v>
      </c>
    </row>
    <row r="31" spans="1:5" ht="15">
      <c r="A31" s="15" t="s">
        <v>35</v>
      </c>
      <c r="B31" s="15" t="s">
        <v>36</v>
      </c>
      <c r="C31" s="15" t="s">
        <v>37</v>
      </c>
      <c r="D31" s="15" t="s">
        <v>38</v>
      </c>
      <c r="E31" s="15" t="s">
        <v>39</v>
      </c>
    </row>
    <row r="32" spans="1:5" ht="12.75">
      <c r="A32" s="12" t="s">
        <v>253</v>
      </c>
      <c r="B32" s="4" t="s">
        <v>195</v>
      </c>
      <c r="C32" s="4" t="s">
        <v>271</v>
      </c>
      <c r="D32" s="4" t="s">
        <v>67</v>
      </c>
      <c r="E32" s="16" t="s">
        <v>272</v>
      </c>
    </row>
    <row r="33" spans="1:5" ht="12.75">
      <c r="A33" s="12" t="s">
        <v>258</v>
      </c>
      <c r="B33" s="4" t="s">
        <v>79</v>
      </c>
      <c r="C33" s="4" t="s">
        <v>273</v>
      </c>
      <c r="D33" s="4" t="s">
        <v>68</v>
      </c>
      <c r="E33" s="16" t="s">
        <v>274</v>
      </c>
    </row>
    <row r="35" spans="1:2" ht="14.25">
      <c r="A35" s="13"/>
      <c r="B35" s="14" t="s">
        <v>200</v>
      </c>
    </row>
    <row r="36" spans="1:5" ht="15">
      <c r="A36" s="15" t="s">
        <v>35</v>
      </c>
      <c r="B36" s="15" t="s">
        <v>36</v>
      </c>
      <c r="C36" s="15" t="s">
        <v>37</v>
      </c>
      <c r="D36" s="15" t="s">
        <v>38</v>
      </c>
      <c r="E36" s="15" t="s">
        <v>39</v>
      </c>
    </row>
    <row r="37" spans="1:5" ht="12.75">
      <c r="A37" s="12" t="s">
        <v>262</v>
      </c>
      <c r="B37" s="4" t="s">
        <v>201</v>
      </c>
      <c r="C37" s="4" t="s">
        <v>83</v>
      </c>
      <c r="D37" s="4" t="s">
        <v>25</v>
      </c>
      <c r="E37" s="16" t="s">
        <v>275</v>
      </c>
    </row>
    <row r="39" spans="1:2" ht="14.25">
      <c r="A39" s="13"/>
      <c r="B39" s="14" t="s">
        <v>86</v>
      </c>
    </row>
    <row r="40" spans="1:5" ht="15">
      <c r="A40" s="15" t="s">
        <v>35</v>
      </c>
      <c r="B40" s="15" t="s">
        <v>36</v>
      </c>
      <c r="C40" s="15" t="s">
        <v>37</v>
      </c>
      <c r="D40" s="15" t="s">
        <v>38</v>
      </c>
      <c r="E40" s="15" t="s">
        <v>39</v>
      </c>
    </row>
    <row r="41" spans="1:5" ht="12.75">
      <c r="A41" s="12" t="s">
        <v>144</v>
      </c>
      <c r="B41" s="4" t="s">
        <v>212</v>
      </c>
      <c r="C41" s="4" t="s">
        <v>209</v>
      </c>
      <c r="D41" s="4" t="s">
        <v>21</v>
      </c>
      <c r="E41" s="16" t="s">
        <v>276</v>
      </c>
    </row>
    <row r="42" spans="1:5" ht="12.75">
      <c r="A42" s="12" t="s">
        <v>267</v>
      </c>
      <c r="B42" s="4" t="s">
        <v>98</v>
      </c>
      <c r="C42" s="4" t="s">
        <v>80</v>
      </c>
      <c r="D42" s="4" t="s">
        <v>57</v>
      </c>
      <c r="E42" s="16" t="s">
        <v>277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3" sqref="L3:L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75390625" style="4" bestFit="1" customWidth="1"/>
    <col min="7" max="9" width="5.625" style="3" bestFit="1" customWidth="1"/>
    <col min="10" max="10" width="5.375" style="3" customWidth="1"/>
    <col min="11" max="11" width="11.25390625" style="4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38" t="s">
        <v>244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3" t="s">
        <v>10</v>
      </c>
      <c r="E3" s="33" t="s">
        <v>4</v>
      </c>
      <c r="F3" s="33" t="s">
        <v>8</v>
      </c>
      <c r="G3" s="33" t="s">
        <v>12</v>
      </c>
      <c r="H3" s="33"/>
      <c r="I3" s="33"/>
      <c r="J3" s="33"/>
      <c r="K3" s="33" t="s">
        <v>100</v>
      </c>
      <c r="L3" s="33" t="s">
        <v>3</v>
      </c>
      <c r="M3" s="35" t="s">
        <v>2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5</v>
      </c>
      <c r="K4" s="34"/>
      <c r="L4" s="34"/>
      <c r="M4" s="36"/>
    </row>
    <row r="5" spans="1:12" ht="15">
      <c r="A5" s="37" t="s">
        <v>133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6" t="s">
        <v>246</v>
      </c>
      <c r="B6" s="6" t="s">
        <v>247</v>
      </c>
      <c r="C6" s="6" t="s">
        <v>248</v>
      </c>
      <c r="D6" s="6" t="str">
        <f>"0,6687"</f>
        <v>0,6687</v>
      </c>
      <c r="E6" s="6" t="s">
        <v>49</v>
      </c>
      <c r="F6" s="6" t="s">
        <v>50</v>
      </c>
      <c r="G6" s="7" t="s">
        <v>25</v>
      </c>
      <c r="H6" s="8" t="s">
        <v>25</v>
      </c>
      <c r="I6" s="7" t="s">
        <v>249</v>
      </c>
      <c r="J6" s="7"/>
      <c r="K6" s="6" t="str">
        <f>"165,0"</f>
        <v>165,0</v>
      </c>
      <c r="L6" s="8" t="str">
        <f>"110,3355"</f>
        <v>110,3355</v>
      </c>
      <c r="M6" s="6" t="s">
        <v>153</v>
      </c>
    </row>
    <row r="8" spans="5:6" ht="15">
      <c r="E8" s="9" t="s">
        <v>28</v>
      </c>
      <c r="F8" s="32" t="s">
        <v>419</v>
      </c>
    </row>
    <row r="9" spans="5:6" ht="15">
      <c r="E9" s="9" t="s">
        <v>29</v>
      </c>
      <c r="F9" s="32" t="s">
        <v>420</v>
      </c>
    </row>
    <row r="10" spans="5:6" ht="15">
      <c r="E10" s="9" t="s">
        <v>30</v>
      </c>
      <c r="F10" s="32" t="s">
        <v>418</v>
      </c>
    </row>
    <row r="11" spans="5:6" ht="15">
      <c r="E11" s="9" t="s">
        <v>31</v>
      </c>
      <c r="F11" s="32" t="s">
        <v>421</v>
      </c>
    </row>
    <row r="12" spans="5:6" ht="15">
      <c r="E12" s="9" t="s">
        <v>31</v>
      </c>
      <c r="F12" s="32" t="s">
        <v>422</v>
      </c>
    </row>
    <row r="13" ht="15">
      <c r="E13" s="9"/>
    </row>
    <row r="14" ht="15">
      <c r="E14" s="9"/>
    </row>
    <row r="16" spans="1:2" ht="18">
      <c r="A16" s="10" t="s">
        <v>32</v>
      </c>
      <c r="B16" s="10"/>
    </row>
    <row r="17" spans="1:2" ht="15">
      <c r="A17" s="11" t="s">
        <v>77</v>
      </c>
      <c r="B17" s="11"/>
    </row>
    <row r="18" spans="1:2" ht="14.25">
      <c r="A18" s="13"/>
      <c r="B18" s="14" t="s">
        <v>34</v>
      </c>
    </row>
    <row r="19" spans="1:5" ht="15">
      <c r="A19" s="15" t="s">
        <v>35</v>
      </c>
      <c r="B19" s="15" t="s">
        <v>36</v>
      </c>
      <c r="C19" s="15" t="s">
        <v>37</v>
      </c>
      <c r="D19" s="15" t="s">
        <v>38</v>
      </c>
      <c r="E19" s="15" t="s">
        <v>39</v>
      </c>
    </row>
    <row r="20" spans="1:5" ht="12.75">
      <c r="A20" s="12" t="s">
        <v>245</v>
      </c>
      <c r="B20" s="4" t="s">
        <v>34</v>
      </c>
      <c r="C20" s="4" t="s">
        <v>209</v>
      </c>
      <c r="D20" s="4" t="s">
        <v>25</v>
      </c>
      <c r="E20" s="16" t="s">
        <v>250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2019-12-31T06:48:09Z</dcterms:modified>
  <cp:category/>
  <cp:version/>
  <cp:contentType/>
  <cp:contentStatus/>
</cp:coreProperties>
</file>